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README" sheetId="6" r:id="rId1"/>
    <sheet name="sh-TP5304-1 vs  sh-LacZ in ADR" sheetId="7" r:id="rId2"/>
    <sheet name="643 overlapped genes" sheetId="4" r:id="rId3"/>
    <sheet name="1211 TP53LC04 dependent genes" sheetId="5" r:id="rId4"/>
  </sheets>
  <definedNames>
    <definedName name="_xlnm._FilterDatabase" localSheetId="2" hidden="1">'643 overlapped genes'!$A$1:$B$644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7" l="1"/>
  <c r="F1" i="7"/>
  <c r="E1" i="7"/>
  <c r="D1" i="7"/>
  <c r="C1" i="7"/>
  <c r="B1" i="7"/>
  <c r="A1" i="7"/>
  <c r="G1855" i="7"/>
  <c r="A1855" i="7"/>
  <c r="F1855" i="7"/>
  <c r="G1854" i="7"/>
  <c r="A1854" i="7"/>
  <c r="F1854" i="7"/>
  <c r="G1853" i="7"/>
  <c r="A1853" i="7"/>
  <c r="F1853" i="7"/>
  <c r="G1852" i="7"/>
  <c r="A1852" i="7"/>
  <c r="F1852" i="7"/>
  <c r="G1851" i="7"/>
  <c r="A1851" i="7"/>
  <c r="F1851" i="7"/>
  <c r="G1850" i="7"/>
  <c r="A1850" i="7"/>
  <c r="F1850" i="7"/>
  <c r="G1849" i="7"/>
  <c r="A1849" i="7"/>
  <c r="F1849" i="7"/>
  <c r="G1848" i="7"/>
  <c r="A1848" i="7"/>
  <c r="F1848" i="7"/>
  <c r="G1847" i="7"/>
  <c r="A1847" i="7"/>
  <c r="F1847" i="7"/>
  <c r="G1846" i="7"/>
  <c r="A1846" i="7"/>
  <c r="F1846" i="7"/>
  <c r="G1845" i="7"/>
  <c r="A1845" i="7"/>
  <c r="F1845" i="7"/>
  <c r="G1844" i="7"/>
  <c r="A1844" i="7"/>
  <c r="F1844" i="7"/>
  <c r="G1843" i="7"/>
  <c r="A1843" i="7"/>
  <c r="F1843" i="7"/>
  <c r="G1842" i="7"/>
  <c r="A1842" i="7"/>
  <c r="F1842" i="7"/>
  <c r="G1841" i="7"/>
  <c r="A1841" i="7"/>
  <c r="F1841" i="7"/>
  <c r="G1840" i="7"/>
  <c r="A1840" i="7"/>
  <c r="F1840" i="7"/>
  <c r="G1839" i="7"/>
  <c r="A1839" i="7"/>
  <c r="F1839" i="7"/>
  <c r="G1838" i="7"/>
  <c r="A1838" i="7"/>
  <c r="F1838" i="7"/>
  <c r="G1837" i="7"/>
  <c r="A1837" i="7"/>
  <c r="F1837" i="7"/>
  <c r="G1836" i="7"/>
  <c r="A1836" i="7"/>
  <c r="F1836" i="7"/>
  <c r="G1835" i="7"/>
  <c r="A1835" i="7"/>
  <c r="F1835" i="7"/>
  <c r="G1834" i="7"/>
  <c r="A1834" i="7"/>
  <c r="F1834" i="7"/>
  <c r="G1833" i="7"/>
  <c r="A1833" i="7"/>
  <c r="F1833" i="7"/>
  <c r="G1832" i="7"/>
  <c r="A1832" i="7"/>
  <c r="F1832" i="7"/>
  <c r="G1831" i="7"/>
  <c r="A1831" i="7"/>
  <c r="F1831" i="7"/>
  <c r="G1830" i="7"/>
  <c r="A1830" i="7"/>
  <c r="F1830" i="7"/>
  <c r="G1829" i="7"/>
  <c r="A1829" i="7"/>
  <c r="F1829" i="7"/>
  <c r="G1828" i="7"/>
  <c r="A1828" i="7"/>
  <c r="F1828" i="7"/>
  <c r="G1827" i="7"/>
  <c r="A1827" i="7"/>
  <c r="F1827" i="7"/>
  <c r="G1826" i="7"/>
  <c r="A1826" i="7"/>
  <c r="F1826" i="7"/>
  <c r="G1825" i="7"/>
  <c r="A1825" i="7"/>
  <c r="F1825" i="7"/>
  <c r="G1824" i="7"/>
  <c r="A1824" i="7"/>
  <c r="F1824" i="7"/>
  <c r="G1823" i="7"/>
  <c r="A1823" i="7"/>
  <c r="F1823" i="7"/>
  <c r="G1822" i="7"/>
  <c r="A1822" i="7"/>
  <c r="F1822" i="7"/>
  <c r="G1821" i="7"/>
  <c r="A1821" i="7"/>
  <c r="F1821" i="7"/>
  <c r="G1820" i="7"/>
  <c r="A1820" i="7"/>
  <c r="F1820" i="7"/>
  <c r="G1819" i="7"/>
  <c r="A1819" i="7"/>
  <c r="F1819" i="7"/>
  <c r="G1818" i="7"/>
  <c r="A1818" i="7"/>
  <c r="F1818" i="7"/>
  <c r="G1817" i="7"/>
  <c r="A1817" i="7"/>
  <c r="F1817" i="7"/>
  <c r="G1816" i="7"/>
  <c r="A1816" i="7"/>
  <c r="F1816" i="7"/>
  <c r="G1815" i="7"/>
  <c r="A1815" i="7"/>
  <c r="F1815" i="7"/>
  <c r="G1814" i="7"/>
  <c r="A1814" i="7"/>
  <c r="F1814" i="7"/>
  <c r="G1813" i="7"/>
  <c r="A1813" i="7"/>
  <c r="F1813" i="7"/>
  <c r="G1812" i="7"/>
  <c r="A1812" i="7"/>
  <c r="F1812" i="7"/>
  <c r="G1811" i="7"/>
  <c r="A1811" i="7"/>
  <c r="F1811" i="7"/>
  <c r="G1810" i="7"/>
  <c r="A1810" i="7"/>
  <c r="F1810" i="7"/>
  <c r="G1809" i="7"/>
  <c r="A1809" i="7"/>
  <c r="F1809" i="7"/>
  <c r="G1808" i="7"/>
  <c r="A1808" i="7"/>
  <c r="F1808" i="7"/>
  <c r="G1807" i="7"/>
  <c r="A1807" i="7"/>
  <c r="F1807" i="7"/>
  <c r="G1806" i="7"/>
  <c r="A1806" i="7"/>
  <c r="F1806" i="7"/>
  <c r="G1805" i="7"/>
  <c r="A1805" i="7"/>
  <c r="F1805" i="7"/>
  <c r="G1804" i="7"/>
  <c r="A1804" i="7"/>
  <c r="F1804" i="7"/>
  <c r="G1803" i="7"/>
  <c r="A1803" i="7"/>
  <c r="F1803" i="7"/>
  <c r="G1802" i="7"/>
  <c r="A1802" i="7"/>
  <c r="F1802" i="7"/>
  <c r="G1801" i="7"/>
  <c r="A1801" i="7"/>
  <c r="F1801" i="7"/>
  <c r="G1800" i="7"/>
  <c r="A1800" i="7"/>
  <c r="F1800" i="7"/>
  <c r="G1799" i="7"/>
  <c r="A1799" i="7"/>
  <c r="F1799" i="7"/>
  <c r="G1798" i="7"/>
  <c r="A1798" i="7"/>
  <c r="F1798" i="7"/>
  <c r="G1797" i="7"/>
  <c r="A1797" i="7"/>
  <c r="F1797" i="7"/>
  <c r="G1796" i="7"/>
  <c r="A1796" i="7"/>
  <c r="F1796" i="7"/>
  <c r="G1795" i="7"/>
  <c r="A1795" i="7"/>
  <c r="F1795" i="7"/>
  <c r="G1794" i="7"/>
  <c r="A1794" i="7"/>
  <c r="F1794" i="7"/>
  <c r="G1793" i="7"/>
  <c r="A1793" i="7"/>
  <c r="F1793" i="7"/>
  <c r="G1792" i="7"/>
  <c r="A1792" i="7"/>
  <c r="F1792" i="7"/>
  <c r="G1791" i="7"/>
  <c r="A1791" i="7"/>
  <c r="F1791" i="7"/>
  <c r="G1790" i="7"/>
  <c r="A1790" i="7"/>
  <c r="F1790" i="7"/>
  <c r="G1789" i="7"/>
  <c r="A1789" i="7"/>
  <c r="F1789" i="7"/>
  <c r="G1788" i="7"/>
  <c r="A1788" i="7"/>
  <c r="F1788" i="7"/>
  <c r="G1787" i="7"/>
  <c r="A1787" i="7"/>
  <c r="F1787" i="7"/>
  <c r="G1786" i="7"/>
  <c r="A1786" i="7"/>
  <c r="F1786" i="7"/>
  <c r="G1785" i="7"/>
  <c r="A1785" i="7"/>
  <c r="F1785" i="7"/>
  <c r="G1784" i="7"/>
  <c r="A1784" i="7"/>
  <c r="F1784" i="7"/>
  <c r="G1783" i="7"/>
  <c r="A1783" i="7"/>
  <c r="F1783" i="7"/>
  <c r="G1782" i="7"/>
  <c r="A1782" i="7"/>
  <c r="F1782" i="7"/>
  <c r="G1781" i="7"/>
  <c r="A1781" i="7"/>
  <c r="F1781" i="7"/>
  <c r="G1780" i="7"/>
  <c r="A1780" i="7"/>
  <c r="F1780" i="7"/>
  <c r="G1779" i="7"/>
  <c r="A1779" i="7"/>
  <c r="F1779" i="7"/>
  <c r="G1778" i="7"/>
  <c r="A1778" i="7"/>
  <c r="F1778" i="7"/>
  <c r="G1777" i="7"/>
  <c r="A1777" i="7"/>
  <c r="F1777" i="7"/>
  <c r="G1776" i="7"/>
  <c r="A1776" i="7"/>
  <c r="F1776" i="7"/>
  <c r="G1775" i="7"/>
  <c r="A1775" i="7"/>
  <c r="F1775" i="7"/>
  <c r="G1774" i="7"/>
  <c r="A1774" i="7"/>
  <c r="F1774" i="7"/>
  <c r="G1773" i="7"/>
  <c r="A1773" i="7"/>
  <c r="F1773" i="7"/>
  <c r="G1772" i="7"/>
  <c r="A1772" i="7"/>
  <c r="F1772" i="7"/>
  <c r="G1771" i="7"/>
  <c r="A1771" i="7"/>
  <c r="F1771" i="7"/>
  <c r="G1770" i="7"/>
  <c r="A1770" i="7"/>
  <c r="F1770" i="7"/>
  <c r="G1769" i="7"/>
  <c r="A1769" i="7"/>
  <c r="F1769" i="7"/>
  <c r="G1768" i="7"/>
  <c r="A1768" i="7"/>
  <c r="F1768" i="7"/>
  <c r="G1767" i="7"/>
  <c r="A1767" i="7"/>
  <c r="F1767" i="7"/>
  <c r="G1766" i="7"/>
  <c r="A1766" i="7"/>
  <c r="F1766" i="7"/>
  <c r="G1765" i="7"/>
  <c r="A1765" i="7"/>
  <c r="F1765" i="7"/>
  <c r="G1764" i="7"/>
  <c r="A1764" i="7"/>
  <c r="F1764" i="7"/>
  <c r="G1763" i="7"/>
  <c r="A1763" i="7"/>
  <c r="F1763" i="7"/>
  <c r="G1762" i="7"/>
  <c r="A1762" i="7"/>
  <c r="F1762" i="7"/>
  <c r="G1761" i="7"/>
  <c r="A1761" i="7"/>
  <c r="F1761" i="7"/>
  <c r="G1760" i="7"/>
  <c r="A1760" i="7"/>
  <c r="F1760" i="7"/>
  <c r="G1759" i="7"/>
  <c r="A1759" i="7"/>
  <c r="F1759" i="7"/>
  <c r="G1758" i="7"/>
  <c r="A1758" i="7"/>
  <c r="F1758" i="7"/>
  <c r="G1757" i="7"/>
  <c r="A1757" i="7"/>
  <c r="F1757" i="7"/>
  <c r="G1756" i="7"/>
  <c r="A1756" i="7"/>
  <c r="F1756" i="7"/>
  <c r="G1755" i="7"/>
  <c r="A1755" i="7"/>
  <c r="F1755" i="7"/>
  <c r="G1754" i="7"/>
  <c r="A1754" i="7"/>
  <c r="F1754" i="7"/>
  <c r="G1753" i="7"/>
  <c r="A1753" i="7"/>
  <c r="F1753" i="7"/>
  <c r="G1752" i="7"/>
  <c r="A1752" i="7"/>
  <c r="F1752" i="7"/>
  <c r="G1751" i="7"/>
  <c r="A1751" i="7"/>
  <c r="F1751" i="7"/>
  <c r="G1750" i="7"/>
  <c r="A1750" i="7"/>
  <c r="F1750" i="7"/>
  <c r="G1749" i="7"/>
  <c r="A1749" i="7"/>
  <c r="F1749" i="7"/>
  <c r="G1748" i="7"/>
  <c r="A1748" i="7"/>
  <c r="F1748" i="7"/>
  <c r="G1747" i="7"/>
  <c r="A1747" i="7"/>
  <c r="F1747" i="7"/>
  <c r="G1746" i="7"/>
  <c r="A1746" i="7"/>
  <c r="F1746" i="7"/>
  <c r="G1745" i="7"/>
  <c r="A1745" i="7"/>
  <c r="F1745" i="7"/>
  <c r="G1744" i="7"/>
  <c r="A1744" i="7"/>
  <c r="F1744" i="7"/>
  <c r="G1743" i="7"/>
  <c r="A1743" i="7"/>
  <c r="F1743" i="7"/>
  <c r="G1742" i="7"/>
  <c r="A1742" i="7"/>
  <c r="F1742" i="7"/>
  <c r="G1741" i="7"/>
  <c r="A1741" i="7"/>
  <c r="F1741" i="7"/>
  <c r="G1740" i="7"/>
  <c r="A1740" i="7"/>
  <c r="F1740" i="7"/>
  <c r="G1739" i="7"/>
  <c r="A1739" i="7"/>
  <c r="F1739" i="7"/>
  <c r="G1738" i="7"/>
  <c r="A1738" i="7"/>
  <c r="F1738" i="7"/>
  <c r="G1737" i="7"/>
  <c r="A1737" i="7"/>
  <c r="F1737" i="7"/>
  <c r="G1736" i="7"/>
  <c r="A1736" i="7"/>
  <c r="F1736" i="7"/>
  <c r="G1735" i="7"/>
  <c r="A1735" i="7"/>
  <c r="F1735" i="7"/>
  <c r="G1734" i="7"/>
  <c r="A1734" i="7"/>
  <c r="F1734" i="7"/>
  <c r="G1733" i="7"/>
  <c r="A1733" i="7"/>
  <c r="F1733" i="7"/>
  <c r="G1732" i="7"/>
  <c r="A1732" i="7"/>
  <c r="F1732" i="7"/>
  <c r="G1731" i="7"/>
  <c r="A1731" i="7"/>
  <c r="F1731" i="7"/>
  <c r="G1730" i="7"/>
  <c r="A1730" i="7"/>
  <c r="F1730" i="7"/>
  <c r="G1729" i="7"/>
  <c r="A1729" i="7"/>
  <c r="F1729" i="7"/>
  <c r="G1728" i="7"/>
  <c r="A1728" i="7"/>
  <c r="F1728" i="7"/>
  <c r="G1727" i="7"/>
  <c r="A1727" i="7"/>
  <c r="F1727" i="7"/>
  <c r="G1726" i="7"/>
  <c r="A1726" i="7"/>
  <c r="F1726" i="7"/>
  <c r="G1725" i="7"/>
  <c r="A1725" i="7"/>
  <c r="F1725" i="7"/>
  <c r="G1724" i="7"/>
  <c r="A1724" i="7"/>
  <c r="F1724" i="7"/>
  <c r="G1723" i="7"/>
  <c r="A1723" i="7"/>
  <c r="F1723" i="7"/>
  <c r="G1722" i="7"/>
  <c r="A1722" i="7"/>
  <c r="F1722" i="7"/>
  <c r="G1721" i="7"/>
  <c r="A1721" i="7"/>
  <c r="F1721" i="7"/>
  <c r="G1720" i="7"/>
  <c r="A1720" i="7"/>
  <c r="F1720" i="7"/>
  <c r="G1719" i="7"/>
  <c r="A1719" i="7"/>
  <c r="F1719" i="7"/>
  <c r="G1718" i="7"/>
  <c r="A1718" i="7"/>
  <c r="F1718" i="7"/>
  <c r="G1717" i="7"/>
  <c r="A1717" i="7"/>
  <c r="F1717" i="7"/>
  <c r="G1716" i="7"/>
  <c r="A1716" i="7"/>
  <c r="F1716" i="7"/>
  <c r="G1715" i="7"/>
  <c r="A1715" i="7"/>
  <c r="F1715" i="7"/>
  <c r="G1714" i="7"/>
  <c r="A1714" i="7"/>
  <c r="F1714" i="7"/>
  <c r="G1713" i="7"/>
  <c r="A1713" i="7"/>
  <c r="F1713" i="7"/>
  <c r="G1712" i="7"/>
  <c r="A1712" i="7"/>
  <c r="F1712" i="7"/>
  <c r="G1711" i="7"/>
  <c r="A1711" i="7"/>
  <c r="F1711" i="7"/>
  <c r="G1710" i="7"/>
  <c r="A1710" i="7"/>
  <c r="F1710" i="7"/>
  <c r="G1709" i="7"/>
  <c r="A1709" i="7"/>
  <c r="F1709" i="7"/>
  <c r="G1708" i="7"/>
  <c r="A1708" i="7"/>
  <c r="F1708" i="7"/>
  <c r="G1707" i="7"/>
  <c r="A1707" i="7"/>
  <c r="F1707" i="7"/>
  <c r="G1706" i="7"/>
  <c r="A1706" i="7"/>
  <c r="F1706" i="7"/>
  <c r="G1705" i="7"/>
  <c r="A1705" i="7"/>
  <c r="F1705" i="7"/>
  <c r="G1704" i="7"/>
  <c r="A1704" i="7"/>
  <c r="F1704" i="7"/>
  <c r="G1703" i="7"/>
  <c r="A1703" i="7"/>
  <c r="F1703" i="7"/>
  <c r="G1702" i="7"/>
  <c r="A1702" i="7"/>
  <c r="F1702" i="7"/>
  <c r="G1701" i="7"/>
  <c r="A1701" i="7"/>
  <c r="F1701" i="7"/>
  <c r="G1700" i="7"/>
  <c r="A1700" i="7"/>
  <c r="F1700" i="7"/>
  <c r="G1699" i="7"/>
  <c r="A1699" i="7"/>
  <c r="F1699" i="7"/>
  <c r="G1698" i="7"/>
  <c r="A1698" i="7"/>
  <c r="F1698" i="7"/>
  <c r="G1697" i="7"/>
  <c r="A1697" i="7"/>
  <c r="F1697" i="7"/>
  <c r="G1696" i="7"/>
  <c r="A1696" i="7"/>
  <c r="F1696" i="7"/>
  <c r="G1695" i="7"/>
  <c r="A1695" i="7"/>
  <c r="F1695" i="7"/>
  <c r="G1694" i="7"/>
  <c r="A1694" i="7"/>
  <c r="F1694" i="7"/>
  <c r="G1693" i="7"/>
  <c r="A1693" i="7"/>
  <c r="F1693" i="7"/>
  <c r="G1692" i="7"/>
  <c r="A1692" i="7"/>
  <c r="F1692" i="7"/>
  <c r="G1691" i="7"/>
  <c r="A1691" i="7"/>
  <c r="F1691" i="7"/>
  <c r="G1690" i="7"/>
  <c r="A1690" i="7"/>
  <c r="F1690" i="7"/>
  <c r="G1689" i="7"/>
  <c r="A1689" i="7"/>
  <c r="F1689" i="7"/>
  <c r="G1688" i="7"/>
  <c r="A1688" i="7"/>
  <c r="F1688" i="7"/>
  <c r="G1687" i="7"/>
  <c r="A1687" i="7"/>
  <c r="F1687" i="7"/>
  <c r="G1686" i="7"/>
  <c r="A1686" i="7"/>
  <c r="F1686" i="7"/>
  <c r="G1685" i="7"/>
  <c r="A1685" i="7"/>
  <c r="F1685" i="7"/>
  <c r="G1684" i="7"/>
  <c r="A1684" i="7"/>
  <c r="F1684" i="7"/>
  <c r="G1683" i="7"/>
  <c r="A1683" i="7"/>
  <c r="F1683" i="7"/>
  <c r="G1682" i="7"/>
  <c r="A1682" i="7"/>
  <c r="F1682" i="7"/>
  <c r="G1681" i="7"/>
  <c r="A1681" i="7"/>
  <c r="F1681" i="7"/>
  <c r="G1680" i="7"/>
  <c r="A1680" i="7"/>
  <c r="F1680" i="7"/>
  <c r="G1679" i="7"/>
  <c r="A1679" i="7"/>
  <c r="F1679" i="7"/>
  <c r="G1678" i="7"/>
  <c r="A1678" i="7"/>
  <c r="F1678" i="7"/>
  <c r="G1677" i="7"/>
  <c r="A1677" i="7"/>
  <c r="F1677" i="7"/>
  <c r="G1676" i="7"/>
  <c r="A1676" i="7"/>
  <c r="F1676" i="7"/>
  <c r="G1675" i="7"/>
  <c r="A1675" i="7"/>
  <c r="F1675" i="7"/>
  <c r="G1674" i="7"/>
  <c r="A1674" i="7"/>
  <c r="F1674" i="7"/>
  <c r="G1673" i="7"/>
  <c r="A1673" i="7"/>
  <c r="F1673" i="7"/>
  <c r="G1672" i="7"/>
  <c r="A1672" i="7"/>
  <c r="F1672" i="7"/>
  <c r="G1671" i="7"/>
  <c r="A1671" i="7"/>
  <c r="F1671" i="7"/>
  <c r="G1670" i="7"/>
  <c r="A1670" i="7"/>
  <c r="F1670" i="7"/>
  <c r="G1669" i="7"/>
  <c r="A1669" i="7"/>
  <c r="F1669" i="7"/>
  <c r="G1668" i="7"/>
  <c r="A1668" i="7"/>
  <c r="F1668" i="7"/>
  <c r="G1667" i="7"/>
  <c r="A1667" i="7"/>
  <c r="F1667" i="7"/>
  <c r="G1666" i="7"/>
  <c r="A1666" i="7"/>
  <c r="F1666" i="7"/>
  <c r="G1665" i="7"/>
  <c r="A1665" i="7"/>
  <c r="F1665" i="7"/>
  <c r="G1664" i="7"/>
  <c r="A1664" i="7"/>
  <c r="F1664" i="7"/>
  <c r="G1663" i="7"/>
  <c r="A1663" i="7"/>
  <c r="F1663" i="7"/>
  <c r="G1662" i="7"/>
  <c r="A1662" i="7"/>
  <c r="F1662" i="7"/>
  <c r="G1661" i="7"/>
  <c r="A1661" i="7"/>
  <c r="F1661" i="7"/>
  <c r="G1660" i="7"/>
  <c r="A1660" i="7"/>
  <c r="F1660" i="7"/>
  <c r="G1659" i="7"/>
  <c r="A1659" i="7"/>
  <c r="F1659" i="7"/>
  <c r="G1658" i="7"/>
  <c r="A1658" i="7"/>
  <c r="F1658" i="7"/>
  <c r="G1657" i="7"/>
  <c r="A1657" i="7"/>
  <c r="F1657" i="7"/>
  <c r="G1656" i="7"/>
  <c r="A1656" i="7"/>
  <c r="F1656" i="7"/>
  <c r="G1655" i="7"/>
  <c r="A1655" i="7"/>
  <c r="F1655" i="7"/>
  <c r="G1654" i="7"/>
  <c r="A1654" i="7"/>
  <c r="F1654" i="7"/>
  <c r="G1653" i="7"/>
  <c r="A1653" i="7"/>
  <c r="F1653" i="7"/>
  <c r="G1652" i="7"/>
  <c r="A1652" i="7"/>
  <c r="F1652" i="7"/>
  <c r="G1651" i="7"/>
  <c r="A1651" i="7"/>
  <c r="F1651" i="7"/>
  <c r="G1650" i="7"/>
  <c r="A1650" i="7"/>
  <c r="F1650" i="7"/>
  <c r="G1649" i="7"/>
  <c r="A1649" i="7"/>
  <c r="F1649" i="7"/>
  <c r="G1648" i="7"/>
  <c r="A1648" i="7"/>
  <c r="F1648" i="7"/>
  <c r="G1647" i="7"/>
  <c r="A1647" i="7"/>
  <c r="F1647" i="7"/>
  <c r="G1646" i="7"/>
  <c r="A1646" i="7"/>
  <c r="F1646" i="7"/>
  <c r="G1645" i="7"/>
  <c r="A1645" i="7"/>
  <c r="F1645" i="7"/>
  <c r="G1644" i="7"/>
  <c r="A1644" i="7"/>
  <c r="F1644" i="7"/>
  <c r="G1643" i="7"/>
  <c r="A1643" i="7"/>
  <c r="F1643" i="7"/>
  <c r="G1642" i="7"/>
  <c r="A1642" i="7"/>
  <c r="F1642" i="7"/>
  <c r="G1641" i="7"/>
  <c r="A1641" i="7"/>
  <c r="F1641" i="7"/>
  <c r="G1640" i="7"/>
  <c r="A1640" i="7"/>
  <c r="F1640" i="7"/>
  <c r="G1639" i="7"/>
  <c r="A1639" i="7"/>
  <c r="F1639" i="7"/>
  <c r="G1638" i="7"/>
  <c r="A1638" i="7"/>
  <c r="F1638" i="7"/>
  <c r="G1637" i="7"/>
  <c r="A1637" i="7"/>
  <c r="F1637" i="7"/>
  <c r="G1636" i="7"/>
  <c r="A1636" i="7"/>
  <c r="F1636" i="7"/>
  <c r="G1635" i="7"/>
  <c r="A1635" i="7"/>
  <c r="F1635" i="7"/>
  <c r="G1634" i="7"/>
  <c r="A1634" i="7"/>
  <c r="F1634" i="7"/>
  <c r="G1633" i="7"/>
  <c r="A1633" i="7"/>
  <c r="F1633" i="7"/>
  <c r="G1632" i="7"/>
  <c r="A1632" i="7"/>
  <c r="F1632" i="7"/>
  <c r="G1631" i="7"/>
  <c r="A1631" i="7"/>
  <c r="F1631" i="7"/>
  <c r="G1630" i="7"/>
  <c r="A1630" i="7"/>
  <c r="F1630" i="7"/>
  <c r="G1629" i="7"/>
  <c r="A1629" i="7"/>
  <c r="F1629" i="7"/>
  <c r="G1628" i="7"/>
  <c r="A1628" i="7"/>
  <c r="F1628" i="7"/>
  <c r="G1627" i="7"/>
  <c r="A1627" i="7"/>
  <c r="F1627" i="7"/>
  <c r="G1626" i="7"/>
  <c r="A1626" i="7"/>
  <c r="F1626" i="7"/>
  <c r="G1625" i="7"/>
  <c r="A1625" i="7"/>
  <c r="F1625" i="7"/>
  <c r="G1624" i="7"/>
  <c r="A1624" i="7"/>
  <c r="F1624" i="7"/>
  <c r="G1623" i="7"/>
  <c r="A1623" i="7"/>
  <c r="F1623" i="7"/>
  <c r="G1622" i="7"/>
  <c r="A1622" i="7"/>
  <c r="F1622" i="7"/>
  <c r="G1621" i="7"/>
  <c r="A1621" i="7"/>
  <c r="F1621" i="7"/>
  <c r="G1620" i="7"/>
  <c r="A1620" i="7"/>
  <c r="F1620" i="7"/>
  <c r="G1619" i="7"/>
  <c r="A1619" i="7"/>
  <c r="F1619" i="7"/>
  <c r="G1618" i="7"/>
  <c r="A1618" i="7"/>
  <c r="F1618" i="7"/>
  <c r="G1617" i="7"/>
  <c r="A1617" i="7"/>
  <c r="F1617" i="7"/>
  <c r="G1616" i="7"/>
  <c r="A1616" i="7"/>
  <c r="F1616" i="7"/>
  <c r="G1615" i="7"/>
  <c r="A1615" i="7"/>
  <c r="F1615" i="7"/>
  <c r="G1614" i="7"/>
  <c r="A1614" i="7"/>
  <c r="F1614" i="7"/>
  <c r="G1613" i="7"/>
  <c r="A1613" i="7"/>
  <c r="F1613" i="7"/>
  <c r="G1612" i="7"/>
  <c r="A1612" i="7"/>
  <c r="F1612" i="7"/>
  <c r="G1611" i="7"/>
  <c r="A1611" i="7"/>
  <c r="F1611" i="7"/>
  <c r="G1610" i="7"/>
  <c r="A1610" i="7"/>
  <c r="F1610" i="7"/>
  <c r="G1609" i="7"/>
  <c r="A1609" i="7"/>
  <c r="F1609" i="7"/>
  <c r="G1608" i="7"/>
  <c r="A1608" i="7"/>
  <c r="F1608" i="7"/>
  <c r="G1607" i="7"/>
  <c r="A1607" i="7"/>
  <c r="F1607" i="7"/>
  <c r="G1606" i="7"/>
  <c r="A1606" i="7"/>
  <c r="F1606" i="7"/>
  <c r="G1605" i="7"/>
  <c r="A1605" i="7"/>
  <c r="F1605" i="7"/>
  <c r="G1604" i="7"/>
  <c r="A1604" i="7"/>
  <c r="F1604" i="7"/>
  <c r="G1603" i="7"/>
  <c r="A1603" i="7"/>
  <c r="F1603" i="7"/>
  <c r="G1602" i="7"/>
  <c r="A1602" i="7"/>
  <c r="F1602" i="7"/>
  <c r="G1601" i="7"/>
  <c r="A1601" i="7"/>
  <c r="F1601" i="7"/>
  <c r="G1600" i="7"/>
  <c r="A1600" i="7"/>
  <c r="F1600" i="7"/>
  <c r="G1599" i="7"/>
  <c r="A1599" i="7"/>
  <c r="F1599" i="7"/>
  <c r="G1598" i="7"/>
  <c r="A1598" i="7"/>
  <c r="F1598" i="7"/>
  <c r="G1597" i="7"/>
  <c r="A1597" i="7"/>
  <c r="F1597" i="7"/>
  <c r="G1596" i="7"/>
  <c r="A1596" i="7"/>
  <c r="F1596" i="7"/>
  <c r="G1595" i="7"/>
  <c r="A1595" i="7"/>
  <c r="F1595" i="7"/>
  <c r="G1594" i="7"/>
  <c r="A1594" i="7"/>
  <c r="F1594" i="7"/>
  <c r="G1593" i="7"/>
  <c r="A1593" i="7"/>
  <c r="F1593" i="7"/>
  <c r="G1592" i="7"/>
  <c r="A1592" i="7"/>
  <c r="F1592" i="7"/>
  <c r="G1591" i="7"/>
  <c r="A1591" i="7"/>
  <c r="F1591" i="7"/>
  <c r="G1590" i="7"/>
  <c r="A1590" i="7"/>
  <c r="F1590" i="7"/>
  <c r="G1589" i="7"/>
  <c r="A1589" i="7"/>
  <c r="F1589" i="7"/>
  <c r="G1588" i="7"/>
  <c r="A1588" i="7"/>
  <c r="F1588" i="7"/>
  <c r="G1587" i="7"/>
  <c r="A1587" i="7"/>
  <c r="F1587" i="7"/>
  <c r="G1586" i="7"/>
  <c r="A1586" i="7"/>
  <c r="F1586" i="7"/>
  <c r="G1585" i="7"/>
  <c r="A1585" i="7"/>
  <c r="F1585" i="7"/>
  <c r="G1584" i="7"/>
  <c r="A1584" i="7"/>
  <c r="F1584" i="7"/>
  <c r="G1583" i="7"/>
  <c r="A1583" i="7"/>
  <c r="F1583" i="7"/>
  <c r="G1582" i="7"/>
  <c r="A1582" i="7"/>
  <c r="F1582" i="7"/>
  <c r="G1581" i="7"/>
  <c r="A1581" i="7"/>
  <c r="F1581" i="7"/>
  <c r="G1580" i="7"/>
  <c r="A1580" i="7"/>
  <c r="F1580" i="7"/>
  <c r="G1579" i="7"/>
  <c r="A1579" i="7"/>
  <c r="F1579" i="7"/>
  <c r="G1578" i="7"/>
  <c r="A1578" i="7"/>
  <c r="F1578" i="7"/>
  <c r="G1577" i="7"/>
  <c r="A1577" i="7"/>
  <c r="F1577" i="7"/>
  <c r="G1576" i="7"/>
  <c r="A1576" i="7"/>
  <c r="F1576" i="7"/>
  <c r="G1575" i="7"/>
  <c r="A1575" i="7"/>
  <c r="F1575" i="7"/>
  <c r="G1574" i="7"/>
  <c r="A1574" i="7"/>
  <c r="F1574" i="7"/>
  <c r="G1573" i="7"/>
  <c r="A1573" i="7"/>
  <c r="F1573" i="7"/>
  <c r="G1572" i="7"/>
  <c r="A1572" i="7"/>
  <c r="F1572" i="7"/>
  <c r="G1571" i="7"/>
  <c r="A1571" i="7"/>
  <c r="F1571" i="7"/>
  <c r="G1570" i="7"/>
  <c r="A1570" i="7"/>
  <c r="F1570" i="7"/>
  <c r="G1569" i="7"/>
  <c r="A1569" i="7"/>
  <c r="F1569" i="7"/>
  <c r="G1568" i="7"/>
  <c r="A1568" i="7"/>
  <c r="F1568" i="7"/>
  <c r="G1567" i="7"/>
  <c r="A1567" i="7"/>
  <c r="F1567" i="7"/>
  <c r="G1566" i="7"/>
  <c r="A1566" i="7"/>
  <c r="F1566" i="7"/>
  <c r="G1565" i="7"/>
  <c r="A1565" i="7"/>
  <c r="F1565" i="7"/>
  <c r="G1564" i="7"/>
  <c r="A1564" i="7"/>
  <c r="F1564" i="7"/>
  <c r="G1563" i="7"/>
  <c r="A1563" i="7"/>
  <c r="F1563" i="7"/>
  <c r="G1562" i="7"/>
  <c r="A1562" i="7"/>
  <c r="F1562" i="7"/>
  <c r="G1561" i="7"/>
  <c r="A1561" i="7"/>
  <c r="F1561" i="7"/>
  <c r="G1560" i="7"/>
  <c r="A1560" i="7"/>
  <c r="F1560" i="7"/>
  <c r="G1559" i="7"/>
  <c r="A1559" i="7"/>
  <c r="F1559" i="7"/>
  <c r="G1558" i="7"/>
  <c r="A1558" i="7"/>
  <c r="F1558" i="7"/>
  <c r="G1557" i="7"/>
  <c r="A1557" i="7"/>
  <c r="F1557" i="7"/>
  <c r="G1556" i="7"/>
  <c r="A1556" i="7"/>
  <c r="F1556" i="7"/>
  <c r="G1555" i="7"/>
  <c r="A1555" i="7"/>
  <c r="F1555" i="7"/>
  <c r="G1554" i="7"/>
  <c r="A1554" i="7"/>
  <c r="F1554" i="7"/>
  <c r="G1553" i="7"/>
  <c r="A1553" i="7"/>
  <c r="F1553" i="7"/>
  <c r="G1552" i="7"/>
  <c r="A1552" i="7"/>
  <c r="F1552" i="7"/>
  <c r="G1551" i="7"/>
  <c r="A1551" i="7"/>
  <c r="F1551" i="7"/>
  <c r="G1550" i="7"/>
  <c r="A1550" i="7"/>
  <c r="F1550" i="7"/>
  <c r="G1549" i="7"/>
  <c r="A1549" i="7"/>
  <c r="F1549" i="7"/>
  <c r="G1548" i="7"/>
  <c r="A1548" i="7"/>
  <c r="F1548" i="7"/>
  <c r="G1547" i="7"/>
  <c r="A1547" i="7"/>
  <c r="F1547" i="7"/>
  <c r="G1546" i="7"/>
  <c r="A1546" i="7"/>
  <c r="F1546" i="7"/>
  <c r="G1545" i="7"/>
  <c r="A1545" i="7"/>
  <c r="F1545" i="7"/>
  <c r="G1544" i="7"/>
  <c r="A1544" i="7"/>
  <c r="F1544" i="7"/>
  <c r="G1543" i="7"/>
  <c r="A1543" i="7"/>
  <c r="F1543" i="7"/>
  <c r="G1542" i="7"/>
  <c r="A1542" i="7"/>
  <c r="F1542" i="7"/>
  <c r="G1541" i="7"/>
  <c r="A1541" i="7"/>
  <c r="F1541" i="7"/>
  <c r="G1540" i="7"/>
  <c r="A1540" i="7"/>
  <c r="F1540" i="7"/>
  <c r="G1539" i="7"/>
  <c r="A1539" i="7"/>
  <c r="F1539" i="7"/>
  <c r="G1538" i="7"/>
  <c r="A1538" i="7"/>
  <c r="F1538" i="7"/>
  <c r="G1537" i="7"/>
  <c r="A1537" i="7"/>
  <c r="F1537" i="7"/>
  <c r="G1536" i="7"/>
  <c r="A1536" i="7"/>
  <c r="F1536" i="7"/>
  <c r="G1535" i="7"/>
  <c r="A1535" i="7"/>
  <c r="F1535" i="7"/>
  <c r="G1534" i="7"/>
  <c r="A1534" i="7"/>
  <c r="F1534" i="7"/>
  <c r="G1533" i="7"/>
  <c r="A1533" i="7"/>
  <c r="F1533" i="7"/>
  <c r="G1532" i="7"/>
  <c r="A1532" i="7"/>
  <c r="F1532" i="7"/>
  <c r="G1531" i="7"/>
  <c r="A1531" i="7"/>
  <c r="F1531" i="7"/>
  <c r="G1530" i="7"/>
  <c r="A1530" i="7"/>
  <c r="F1530" i="7"/>
  <c r="G1529" i="7"/>
  <c r="A1529" i="7"/>
  <c r="F1529" i="7"/>
  <c r="G1528" i="7"/>
  <c r="A1528" i="7"/>
  <c r="F1528" i="7"/>
  <c r="G1527" i="7"/>
  <c r="A1527" i="7"/>
  <c r="F1527" i="7"/>
  <c r="G1526" i="7"/>
  <c r="A1526" i="7"/>
  <c r="F1526" i="7"/>
  <c r="G1525" i="7"/>
  <c r="A1525" i="7"/>
  <c r="F1525" i="7"/>
  <c r="G1524" i="7"/>
  <c r="A1524" i="7"/>
  <c r="F1524" i="7"/>
  <c r="G1523" i="7"/>
  <c r="A1523" i="7"/>
  <c r="F1523" i="7"/>
  <c r="G1522" i="7"/>
  <c r="A1522" i="7"/>
  <c r="F1522" i="7"/>
  <c r="G1521" i="7"/>
  <c r="A1521" i="7"/>
  <c r="F1521" i="7"/>
  <c r="G1520" i="7"/>
  <c r="A1520" i="7"/>
  <c r="F1520" i="7"/>
  <c r="G1519" i="7"/>
  <c r="A1519" i="7"/>
  <c r="F1519" i="7"/>
  <c r="G1518" i="7"/>
  <c r="A1518" i="7"/>
  <c r="F1518" i="7"/>
  <c r="G1517" i="7"/>
  <c r="A1517" i="7"/>
  <c r="F1517" i="7"/>
  <c r="G1516" i="7"/>
  <c r="A1516" i="7"/>
  <c r="F1516" i="7"/>
  <c r="G1515" i="7"/>
  <c r="A1515" i="7"/>
  <c r="F1515" i="7"/>
  <c r="G1514" i="7"/>
  <c r="A1514" i="7"/>
  <c r="F1514" i="7"/>
  <c r="G1513" i="7"/>
  <c r="A1513" i="7"/>
  <c r="F1513" i="7"/>
  <c r="G1512" i="7"/>
  <c r="A1512" i="7"/>
  <c r="F1512" i="7"/>
  <c r="G1511" i="7"/>
  <c r="A1511" i="7"/>
  <c r="F1511" i="7"/>
  <c r="G1510" i="7"/>
  <c r="A1510" i="7"/>
  <c r="F1510" i="7"/>
  <c r="G1509" i="7"/>
  <c r="A1509" i="7"/>
  <c r="F1509" i="7"/>
  <c r="G1508" i="7"/>
  <c r="A1508" i="7"/>
  <c r="F1508" i="7"/>
  <c r="G1507" i="7"/>
  <c r="A1507" i="7"/>
  <c r="F1507" i="7"/>
  <c r="G1506" i="7"/>
  <c r="A1506" i="7"/>
  <c r="F1506" i="7"/>
  <c r="G1505" i="7"/>
  <c r="A1505" i="7"/>
  <c r="F1505" i="7"/>
  <c r="G1504" i="7"/>
  <c r="A1504" i="7"/>
  <c r="F1504" i="7"/>
  <c r="G1503" i="7"/>
  <c r="A1503" i="7"/>
  <c r="F1503" i="7"/>
  <c r="G1502" i="7"/>
  <c r="A1502" i="7"/>
  <c r="F1502" i="7"/>
  <c r="G1501" i="7"/>
  <c r="A1501" i="7"/>
  <c r="F1501" i="7"/>
  <c r="G1500" i="7"/>
  <c r="A1500" i="7"/>
  <c r="F1500" i="7"/>
  <c r="G1499" i="7"/>
  <c r="A1499" i="7"/>
  <c r="F1499" i="7"/>
  <c r="G1498" i="7"/>
  <c r="A1498" i="7"/>
  <c r="F1498" i="7"/>
  <c r="G1497" i="7"/>
  <c r="A1497" i="7"/>
  <c r="F1497" i="7"/>
  <c r="G1496" i="7"/>
  <c r="A1496" i="7"/>
  <c r="F1496" i="7"/>
  <c r="G1495" i="7"/>
  <c r="A1495" i="7"/>
  <c r="F1495" i="7"/>
  <c r="G1494" i="7"/>
  <c r="A1494" i="7"/>
  <c r="F1494" i="7"/>
  <c r="G1493" i="7"/>
  <c r="A1493" i="7"/>
  <c r="F1493" i="7"/>
  <c r="G1492" i="7"/>
  <c r="A1492" i="7"/>
  <c r="F1492" i="7"/>
  <c r="G1491" i="7"/>
  <c r="A1491" i="7"/>
  <c r="F1491" i="7"/>
  <c r="G1490" i="7"/>
  <c r="A1490" i="7"/>
  <c r="F1490" i="7"/>
  <c r="G1489" i="7"/>
  <c r="A1489" i="7"/>
  <c r="F1489" i="7"/>
  <c r="G1488" i="7"/>
  <c r="A1488" i="7"/>
  <c r="F1488" i="7"/>
  <c r="G1487" i="7"/>
  <c r="A1487" i="7"/>
  <c r="F1487" i="7"/>
  <c r="G1486" i="7"/>
  <c r="A1486" i="7"/>
  <c r="F1486" i="7"/>
  <c r="G1485" i="7"/>
  <c r="A1485" i="7"/>
  <c r="F1485" i="7"/>
  <c r="G1484" i="7"/>
  <c r="A1484" i="7"/>
  <c r="F1484" i="7"/>
  <c r="G1483" i="7"/>
  <c r="A1483" i="7"/>
  <c r="F1483" i="7"/>
  <c r="G1482" i="7"/>
  <c r="A1482" i="7"/>
  <c r="F1482" i="7"/>
  <c r="G1481" i="7"/>
  <c r="A1481" i="7"/>
  <c r="F1481" i="7"/>
  <c r="G1480" i="7"/>
  <c r="A1480" i="7"/>
  <c r="F1480" i="7"/>
  <c r="G1479" i="7"/>
  <c r="A1479" i="7"/>
  <c r="F1479" i="7"/>
  <c r="G1478" i="7"/>
  <c r="A1478" i="7"/>
  <c r="F1478" i="7"/>
  <c r="G1477" i="7"/>
  <c r="A1477" i="7"/>
  <c r="F1477" i="7"/>
  <c r="G1476" i="7"/>
  <c r="A1476" i="7"/>
  <c r="F1476" i="7"/>
  <c r="G1475" i="7"/>
  <c r="A1475" i="7"/>
  <c r="F1475" i="7"/>
  <c r="G1474" i="7"/>
  <c r="A1474" i="7"/>
  <c r="F1474" i="7"/>
  <c r="G1473" i="7"/>
  <c r="A1473" i="7"/>
  <c r="F1473" i="7"/>
  <c r="G1472" i="7"/>
  <c r="A1472" i="7"/>
  <c r="F1472" i="7"/>
  <c r="G1471" i="7"/>
  <c r="A1471" i="7"/>
  <c r="F1471" i="7"/>
  <c r="G1470" i="7"/>
  <c r="A1470" i="7"/>
  <c r="F1470" i="7"/>
  <c r="G1469" i="7"/>
  <c r="A1469" i="7"/>
  <c r="F1469" i="7"/>
  <c r="G1468" i="7"/>
  <c r="A1468" i="7"/>
  <c r="F1468" i="7"/>
  <c r="G1467" i="7"/>
  <c r="A1467" i="7"/>
  <c r="F1467" i="7"/>
  <c r="G1466" i="7"/>
  <c r="A1466" i="7"/>
  <c r="F1466" i="7"/>
  <c r="G1465" i="7"/>
  <c r="A1465" i="7"/>
  <c r="F1465" i="7"/>
  <c r="G1464" i="7"/>
  <c r="A1464" i="7"/>
  <c r="F1464" i="7"/>
  <c r="G1463" i="7"/>
  <c r="A1463" i="7"/>
  <c r="F1463" i="7"/>
  <c r="G1462" i="7"/>
  <c r="A1462" i="7"/>
  <c r="F1462" i="7"/>
  <c r="G1461" i="7"/>
  <c r="A1461" i="7"/>
  <c r="F1461" i="7"/>
  <c r="G1460" i="7"/>
  <c r="A1460" i="7"/>
  <c r="F1460" i="7"/>
  <c r="G1459" i="7"/>
  <c r="A1459" i="7"/>
  <c r="F1459" i="7"/>
  <c r="G1458" i="7"/>
  <c r="A1458" i="7"/>
  <c r="F1458" i="7"/>
  <c r="G1457" i="7"/>
  <c r="A1457" i="7"/>
  <c r="F1457" i="7"/>
  <c r="G1456" i="7"/>
  <c r="A1456" i="7"/>
  <c r="F1456" i="7"/>
  <c r="G1455" i="7"/>
  <c r="A1455" i="7"/>
  <c r="F1455" i="7"/>
  <c r="G1454" i="7"/>
  <c r="A1454" i="7"/>
  <c r="F1454" i="7"/>
  <c r="G1453" i="7"/>
  <c r="A1453" i="7"/>
  <c r="F1453" i="7"/>
  <c r="G1452" i="7"/>
  <c r="A1452" i="7"/>
  <c r="F1452" i="7"/>
  <c r="G1451" i="7"/>
  <c r="A1451" i="7"/>
  <c r="F1451" i="7"/>
  <c r="G1450" i="7"/>
  <c r="A1450" i="7"/>
  <c r="F1450" i="7"/>
  <c r="G1449" i="7"/>
  <c r="A1449" i="7"/>
  <c r="F1449" i="7"/>
  <c r="G1448" i="7"/>
  <c r="A1448" i="7"/>
  <c r="F1448" i="7"/>
  <c r="G1447" i="7"/>
  <c r="A1447" i="7"/>
  <c r="F1447" i="7"/>
  <c r="G1446" i="7"/>
  <c r="A1446" i="7"/>
  <c r="F1446" i="7"/>
  <c r="G1445" i="7"/>
  <c r="A1445" i="7"/>
  <c r="F1445" i="7"/>
  <c r="G1444" i="7"/>
  <c r="A1444" i="7"/>
  <c r="F1444" i="7"/>
  <c r="G1443" i="7"/>
  <c r="A1443" i="7"/>
  <c r="F1443" i="7"/>
  <c r="G1442" i="7"/>
  <c r="A1442" i="7"/>
  <c r="F1442" i="7"/>
  <c r="G1441" i="7"/>
  <c r="A1441" i="7"/>
  <c r="F1441" i="7"/>
  <c r="G1440" i="7"/>
  <c r="A1440" i="7"/>
  <c r="F1440" i="7"/>
  <c r="G1439" i="7"/>
  <c r="A1439" i="7"/>
  <c r="F1439" i="7"/>
  <c r="G1438" i="7"/>
  <c r="A1438" i="7"/>
  <c r="F1438" i="7"/>
  <c r="G1437" i="7"/>
  <c r="A1437" i="7"/>
  <c r="F1437" i="7"/>
  <c r="G1436" i="7"/>
  <c r="A1436" i="7"/>
  <c r="F1436" i="7"/>
  <c r="G1435" i="7"/>
  <c r="A1435" i="7"/>
  <c r="F1435" i="7"/>
  <c r="G1434" i="7"/>
  <c r="A1434" i="7"/>
  <c r="F1434" i="7"/>
  <c r="G1433" i="7"/>
  <c r="A1433" i="7"/>
  <c r="F1433" i="7"/>
  <c r="G1432" i="7"/>
  <c r="A1432" i="7"/>
  <c r="F1432" i="7"/>
  <c r="G1431" i="7"/>
  <c r="A1431" i="7"/>
  <c r="F1431" i="7"/>
  <c r="G1430" i="7"/>
  <c r="A1430" i="7"/>
  <c r="F1430" i="7"/>
  <c r="G1429" i="7"/>
  <c r="A1429" i="7"/>
  <c r="F1429" i="7"/>
  <c r="G1428" i="7"/>
  <c r="A1428" i="7"/>
  <c r="F1428" i="7"/>
  <c r="G1427" i="7"/>
  <c r="A1427" i="7"/>
  <c r="F1427" i="7"/>
  <c r="G1426" i="7"/>
  <c r="A1426" i="7"/>
  <c r="F1426" i="7"/>
  <c r="G1425" i="7"/>
  <c r="A1425" i="7"/>
  <c r="F1425" i="7"/>
  <c r="G1424" i="7"/>
  <c r="A1424" i="7"/>
  <c r="F1424" i="7"/>
  <c r="G1423" i="7"/>
  <c r="A1423" i="7"/>
  <c r="F1423" i="7"/>
  <c r="G1422" i="7"/>
  <c r="A1422" i="7"/>
  <c r="F1422" i="7"/>
  <c r="G1421" i="7"/>
  <c r="A1421" i="7"/>
  <c r="F1421" i="7"/>
  <c r="G1420" i="7"/>
  <c r="A1420" i="7"/>
  <c r="F1420" i="7"/>
  <c r="G1419" i="7"/>
  <c r="A1419" i="7"/>
  <c r="F1419" i="7"/>
  <c r="G1418" i="7"/>
  <c r="A1418" i="7"/>
  <c r="F1418" i="7"/>
  <c r="G1417" i="7"/>
  <c r="A1417" i="7"/>
  <c r="F1417" i="7"/>
  <c r="G1416" i="7"/>
  <c r="A1416" i="7"/>
  <c r="F1416" i="7"/>
  <c r="G1415" i="7"/>
  <c r="A1415" i="7"/>
  <c r="F1415" i="7"/>
  <c r="G1414" i="7"/>
  <c r="A1414" i="7"/>
  <c r="F1414" i="7"/>
  <c r="G1413" i="7"/>
  <c r="A1413" i="7"/>
  <c r="F1413" i="7"/>
  <c r="G1412" i="7"/>
  <c r="A1412" i="7"/>
  <c r="F1412" i="7"/>
  <c r="G1411" i="7"/>
  <c r="A1411" i="7"/>
  <c r="F1411" i="7"/>
  <c r="G1410" i="7"/>
  <c r="A1410" i="7"/>
  <c r="F1410" i="7"/>
  <c r="G1409" i="7"/>
  <c r="A1409" i="7"/>
  <c r="F1409" i="7"/>
  <c r="G1408" i="7"/>
  <c r="A1408" i="7"/>
  <c r="F1408" i="7"/>
  <c r="G1407" i="7"/>
  <c r="A1407" i="7"/>
  <c r="F1407" i="7"/>
  <c r="G1406" i="7"/>
  <c r="A1406" i="7"/>
  <c r="F1406" i="7"/>
  <c r="G1405" i="7"/>
  <c r="A1405" i="7"/>
  <c r="F1405" i="7"/>
  <c r="G1404" i="7"/>
  <c r="A1404" i="7"/>
  <c r="F1404" i="7"/>
  <c r="G1403" i="7"/>
  <c r="A1403" i="7"/>
  <c r="F1403" i="7"/>
  <c r="G1402" i="7"/>
  <c r="A1402" i="7"/>
  <c r="F1402" i="7"/>
  <c r="G1401" i="7"/>
  <c r="A1401" i="7"/>
  <c r="F1401" i="7"/>
  <c r="G1400" i="7"/>
  <c r="A1400" i="7"/>
  <c r="F1400" i="7"/>
  <c r="G1399" i="7"/>
  <c r="A1399" i="7"/>
  <c r="F1399" i="7"/>
  <c r="G1398" i="7"/>
  <c r="A1398" i="7"/>
  <c r="F1398" i="7"/>
  <c r="G1397" i="7"/>
  <c r="A1397" i="7"/>
  <c r="F1397" i="7"/>
  <c r="G1396" i="7"/>
  <c r="A1396" i="7"/>
  <c r="F1396" i="7"/>
  <c r="G1395" i="7"/>
  <c r="A1395" i="7"/>
  <c r="F1395" i="7"/>
  <c r="G1394" i="7"/>
  <c r="A1394" i="7"/>
  <c r="F1394" i="7"/>
  <c r="G1393" i="7"/>
  <c r="A1393" i="7"/>
  <c r="F1393" i="7"/>
  <c r="G1392" i="7"/>
  <c r="A1392" i="7"/>
  <c r="F1392" i="7"/>
  <c r="G1391" i="7"/>
  <c r="A1391" i="7"/>
  <c r="F1391" i="7"/>
  <c r="G1390" i="7"/>
  <c r="A1390" i="7"/>
  <c r="F1390" i="7"/>
  <c r="G1389" i="7"/>
  <c r="A1389" i="7"/>
  <c r="F1389" i="7"/>
  <c r="G1388" i="7"/>
  <c r="A1388" i="7"/>
  <c r="F1388" i="7"/>
  <c r="G1387" i="7"/>
  <c r="A1387" i="7"/>
  <c r="F1387" i="7"/>
  <c r="G1386" i="7"/>
  <c r="A1386" i="7"/>
  <c r="F1386" i="7"/>
  <c r="G1385" i="7"/>
  <c r="A1385" i="7"/>
  <c r="F1385" i="7"/>
  <c r="G1384" i="7"/>
  <c r="A1384" i="7"/>
  <c r="F1384" i="7"/>
  <c r="G1383" i="7"/>
  <c r="A1383" i="7"/>
  <c r="F1383" i="7"/>
  <c r="G1382" i="7"/>
  <c r="A1382" i="7"/>
  <c r="F1382" i="7"/>
  <c r="G1381" i="7"/>
  <c r="A1381" i="7"/>
  <c r="F1381" i="7"/>
  <c r="G1380" i="7"/>
  <c r="A1380" i="7"/>
  <c r="F1380" i="7"/>
  <c r="G1379" i="7"/>
  <c r="A1379" i="7"/>
  <c r="F1379" i="7"/>
  <c r="G1378" i="7"/>
  <c r="A1378" i="7"/>
  <c r="F1378" i="7"/>
  <c r="G1377" i="7"/>
  <c r="A1377" i="7"/>
  <c r="F1377" i="7"/>
  <c r="G1376" i="7"/>
  <c r="A1376" i="7"/>
  <c r="F1376" i="7"/>
  <c r="G1375" i="7"/>
  <c r="A1375" i="7"/>
  <c r="F1375" i="7"/>
  <c r="G1374" i="7"/>
  <c r="A1374" i="7"/>
  <c r="F1374" i="7"/>
  <c r="G1373" i="7"/>
  <c r="A1373" i="7"/>
  <c r="F1373" i="7"/>
  <c r="G1372" i="7"/>
  <c r="A1372" i="7"/>
  <c r="F1372" i="7"/>
  <c r="G1371" i="7"/>
  <c r="A1371" i="7"/>
  <c r="F1371" i="7"/>
  <c r="G1370" i="7"/>
  <c r="A1370" i="7"/>
  <c r="F1370" i="7"/>
  <c r="G1369" i="7"/>
  <c r="A1369" i="7"/>
  <c r="F1369" i="7"/>
  <c r="G1368" i="7"/>
  <c r="A1368" i="7"/>
  <c r="F1368" i="7"/>
  <c r="G1367" i="7"/>
  <c r="A1367" i="7"/>
  <c r="F1367" i="7"/>
  <c r="G1366" i="7"/>
  <c r="A1366" i="7"/>
  <c r="F1366" i="7"/>
  <c r="G1365" i="7"/>
  <c r="A1365" i="7"/>
  <c r="F1365" i="7"/>
  <c r="G1364" i="7"/>
  <c r="A1364" i="7"/>
  <c r="F1364" i="7"/>
  <c r="G1363" i="7"/>
  <c r="A1363" i="7"/>
  <c r="F1363" i="7"/>
  <c r="G1362" i="7"/>
  <c r="A1362" i="7"/>
  <c r="F1362" i="7"/>
  <c r="G1361" i="7"/>
  <c r="A1361" i="7"/>
  <c r="F1361" i="7"/>
  <c r="G1360" i="7"/>
  <c r="A1360" i="7"/>
  <c r="F1360" i="7"/>
  <c r="G1359" i="7"/>
  <c r="A1359" i="7"/>
  <c r="F1359" i="7"/>
  <c r="G1358" i="7"/>
  <c r="A1358" i="7"/>
  <c r="F1358" i="7"/>
  <c r="G1357" i="7"/>
  <c r="A1357" i="7"/>
  <c r="F1357" i="7"/>
  <c r="G1356" i="7"/>
  <c r="A1356" i="7"/>
  <c r="F1356" i="7"/>
  <c r="G1355" i="7"/>
  <c r="A1355" i="7"/>
  <c r="F1355" i="7"/>
  <c r="G1354" i="7"/>
  <c r="A1354" i="7"/>
  <c r="F1354" i="7"/>
  <c r="G1353" i="7"/>
  <c r="A1353" i="7"/>
  <c r="F1353" i="7"/>
  <c r="G1352" i="7"/>
  <c r="A1352" i="7"/>
  <c r="F1352" i="7"/>
  <c r="G1351" i="7"/>
  <c r="A1351" i="7"/>
  <c r="F1351" i="7"/>
  <c r="G1350" i="7"/>
  <c r="A1350" i="7"/>
  <c r="F1350" i="7"/>
  <c r="G1349" i="7"/>
  <c r="A1349" i="7"/>
  <c r="F1349" i="7"/>
  <c r="G1348" i="7"/>
  <c r="A1348" i="7"/>
  <c r="F1348" i="7"/>
  <c r="G1347" i="7"/>
  <c r="A1347" i="7"/>
  <c r="F1347" i="7"/>
  <c r="G1346" i="7"/>
  <c r="A1346" i="7"/>
  <c r="F1346" i="7"/>
  <c r="G1345" i="7"/>
  <c r="A1345" i="7"/>
  <c r="F1345" i="7"/>
  <c r="G1344" i="7"/>
  <c r="A1344" i="7"/>
  <c r="F1344" i="7"/>
  <c r="G1343" i="7"/>
  <c r="A1343" i="7"/>
  <c r="F1343" i="7"/>
  <c r="G1342" i="7"/>
  <c r="A1342" i="7"/>
  <c r="F1342" i="7"/>
  <c r="G1341" i="7"/>
  <c r="A1341" i="7"/>
  <c r="F1341" i="7"/>
  <c r="G1340" i="7"/>
  <c r="A1340" i="7"/>
  <c r="F1340" i="7"/>
  <c r="G1339" i="7"/>
  <c r="A1339" i="7"/>
  <c r="F1339" i="7"/>
  <c r="G1338" i="7"/>
  <c r="A1338" i="7"/>
  <c r="F1338" i="7"/>
  <c r="G1337" i="7"/>
  <c r="A1337" i="7"/>
  <c r="F1337" i="7"/>
  <c r="G1336" i="7"/>
  <c r="A1336" i="7"/>
  <c r="F1336" i="7"/>
  <c r="G1335" i="7"/>
  <c r="A1335" i="7"/>
  <c r="F1335" i="7"/>
  <c r="G1334" i="7"/>
  <c r="A1334" i="7"/>
  <c r="F1334" i="7"/>
  <c r="G1333" i="7"/>
  <c r="A1333" i="7"/>
  <c r="F1333" i="7"/>
  <c r="G1332" i="7"/>
  <c r="A1332" i="7"/>
  <c r="F1332" i="7"/>
  <c r="G1331" i="7"/>
  <c r="A1331" i="7"/>
  <c r="F1331" i="7"/>
  <c r="G1330" i="7"/>
  <c r="A1330" i="7"/>
  <c r="F1330" i="7"/>
  <c r="G1329" i="7"/>
  <c r="A1329" i="7"/>
  <c r="F1329" i="7"/>
  <c r="G1328" i="7"/>
  <c r="A1328" i="7"/>
  <c r="F1328" i="7"/>
  <c r="G1327" i="7"/>
  <c r="A1327" i="7"/>
  <c r="F1327" i="7"/>
  <c r="G1326" i="7"/>
  <c r="A1326" i="7"/>
  <c r="F1326" i="7"/>
  <c r="G1325" i="7"/>
  <c r="A1325" i="7"/>
  <c r="F1325" i="7"/>
  <c r="G1324" i="7"/>
  <c r="A1324" i="7"/>
  <c r="F1324" i="7"/>
  <c r="G1323" i="7"/>
  <c r="A1323" i="7"/>
  <c r="F1323" i="7"/>
  <c r="G1322" i="7"/>
  <c r="A1322" i="7"/>
  <c r="F1322" i="7"/>
  <c r="G1321" i="7"/>
  <c r="A1321" i="7"/>
  <c r="F1321" i="7"/>
  <c r="G1320" i="7"/>
  <c r="A1320" i="7"/>
  <c r="F1320" i="7"/>
  <c r="G1319" i="7"/>
  <c r="A1319" i="7"/>
  <c r="F1319" i="7"/>
  <c r="G1318" i="7"/>
  <c r="A1318" i="7"/>
  <c r="F1318" i="7"/>
  <c r="G1317" i="7"/>
  <c r="A1317" i="7"/>
  <c r="F1317" i="7"/>
  <c r="G1316" i="7"/>
  <c r="A1316" i="7"/>
  <c r="F1316" i="7"/>
  <c r="G1315" i="7"/>
  <c r="A1315" i="7"/>
  <c r="F1315" i="7"/>
  <c r="G1314" i="7"/>
  <c r="A1314" i="7"/>
  <c r="F1314" i="7"/>
  <c r="G1313" i="7"/>
  <c r="A1313" i="7"/>
  <c r="F1313" i="7"/>
  <c r="G1312" i="7"/>
  <c r="A1312" i="7"/>
  <c r="F1312" i="7"/>
  <c r="G1311" i="7"/>
  <c r="A1311" i="7"/>
  <c r="F1311" i="7"/>
  <c r="G1310" i="7"/>
  <c r="A1310" i="7"/>
  <c r="F1310" i="7"/>
  <c r="G1309" i="7"/>
  <c r="A1309" i="7"/>
  <c r="F1309" i="7"/>
  <c r="G1308" i="7"/>
  <c r="A1308" i="7"/>
  <c r="F1308" i="7"/>
  <c r="G1307" i="7"/>
  <c r="A1307" i="7"/>
  <c r="F1307" i="7"/>
  <c r="G1306" i="7"/>
  <c r="A1306" i="7"/>
  <c r="F1306" i="7"/>
  <c r="G1305" i="7"/>
  <c r="A1305" i="7"/>
  <c r="F1305" i="7"/>
  <c r="G1304" i="7"/>
  <c r="A1304" i="7"/>
  <c r="F1304" i="7"/>
  <c r="G1303" i="7"/>
  <c r="A1303" i="7"/>
  <c r="F1303" i="7"/>
  <c r="G1302" i="7"/>
  <c r="A1302" i="7"/>
  <c r="F1302" i="7"/>
  <c r="G1301" i="7"/>
  <c r="A1301" i="7"/>
  <c r="F1301" i="7"/>
  <c r="G1300" i="7"/>
  <c r="A1300" i="7"/>
  <c r="F1300" i="7"/>
  <c r="G1299" i="7"/>
  <c r="A1299" i="7"/>
  <c r="F1299" i="7"/>
  <c r="G1298" i="7"/>
  <c r="A1298" i="7"/>
  <c r="F1298" i="7"/>
  <c r="G1297" i="7"/>
  <c r="A1297" i="7"/>
  <c r="F1297" i="7"/>
  <c r="G1296" i="7"/>
  <c r="A1296" i="7"/>
  <c r="F1296" i="7"/>
  <c r="G1295" i="7"/>
  <c r="A1295" i="7"/>
  <c r="F1295" i="7"/>
  <c r="G1294" i="7"/>
  <c r="A1294" i="7"/>
  <c r="F1294" i="7"/>
  <c r="G1293" i="7"/>
  <c r="A1293" i="7"/>
  <c r="F1293" i="7"/>
  <c r="G1292" i="7"/>
  <c r="A1292" i="7"/>
  <c r="F1292" i="7"/>
  <c r="G1291" i="7"/>
  <c r="A1291" i="7"/>
  <c r="F1291" i="7"/>
  <c r="G1290" i="7"/>
  <c r="A1290" i="7"/>
  <c r="F1290" i="7"/>
  <c r="G1289" i="7"/>
  <c r="A1289" i="7"/>
  <c r="F1289" i="7"/>
  <c r="G1288" i="7"/>
  <c r="A1288" i="7"/>
  <c r="F1288" i="7"/>
  <c r="G1287" i="7"/>
  <c r="A1287" i="7"/>
  <c r="F1287" i="7"/>
  <c r="G1286" i="7"/>
  <c r="A1286" i="7"/>
  <c r="F1286" i="7"/>
  <c r="G1285" i="7"/>
  <c r="A1285" i="7"/>
  <c r="F1285" i="7"/>
  <c r="G1284" i="7"/>
  <c r="A1284" i="7"/>
  <c r="F1284" i="7"/>
  <c r="G1283" i="7"/>
  <c r="A1283" i="7"/>
  <c r="F1283" i="7"/>
  <c r="G1282" i="7"/>
  <c r="A1282" i="7"/>
  <c r="F1282" i="7"/>
  <c r="G1281" i="7"/>
  <c r="A1281" i="7"/>
  <c r="F1281" i="7"/>
  <c r="G1280" i="7"/>
  <c r="A1280" i="7"/>
  <c r="F1280" i="7"/>
  <c r="G1279" i="7"/>
  <c r="A1279" i="7"/>
  <c r="F1279" i="7"/>
  <c r="G1278" i="7"/>
  <c r="A1278" i="7"/>
  <c r="F1278" i="7"/>
  <c r="G1277" i="7"/>
  <c r="A1277" i="7"/>
  <c r="F1277" i="7"/>
  <c r="G1276" i="7"/>
  <c r="A1276" i="7"/>
  <c r="F1276" i="7"/>
  <c r="G1275" i="7"/>
  <c r="A1275" i="7"/>
  <c r="F1275" i="7"/>
  <c r="G1274" i="7"/>
  <c r="A1274" i="7"/>
  <c r="F1274" i="7"/>
  <c r="G1273" i="7"/>
  <c r="A1273" i="7"/>
  <c r="F1273" i="7"/>
  <c r="G1272" i="7"/>
  <c r="A1272" i="7"/>
  <c r="F1272" i="7"/>
  <c r="G1271" i="7"/>
  <c r="A1271" i="7"/>
  <c r="F1271" i="7"/>
  <c r="G1270" i="7"/>
  <c r="A1270" i="7"/>
  <c r="F1270" i="7"/>
  <c r="G1269" i="7"/>
  <c r="A1269" i="7"/>
  <c r="F1269" i="7"/>
  <c r="G1268" i="7"/>
  <c r="A1268" i="7"/>
  <c r="F1268" i="7"/>
  <c r="G1267" i="7"/>
  <c r="A1267" i="7"/>
  <c r="F1267" i="7"/>
  <c r="G1266" i="7"/>
  <c r="A1266" i="7"/>
  <c r="F1266" i="7"/>
  <c r="G1265" i="7"/>
  <c r="A1265" i="7"/>
  <c r="F1265" i="7"/>
  <c r="G1264" i="7"/>
  <c r="A1264" i="7"/>
  <c r="F1264" i="7"/>
  <c r="G1263" i="7"/>
  <c r="A1263" i="7"/>
  <c r="F1263" i="7"/>
  <c r="G1262" i="7"/>
  <c r="A1262" i="7"/>
  <c r="F1262" i="7"/>
  <c r="G1261" i="7"/>
  <c r="A1261" i="7"/>
  <c r="F1261" i="7"/>
  <c r="G1260" i="7"/>
  <c r="A1260" i="7"/>
  <c r="F1260" i="7"/>
  <c r="G1259" i="7"/>
  <c r="A1259" i="7"/>
  <c r="F1259" i="7"/>
  <c r="G1258" i="7"/>
  <c r="A1258" i="7"/>
  <c r="F1258" i="7"/>
  <c r="G1257" i="7"/>
  <c r="A1257" i="7"/>
  <c r="F1257" i="7"/>
  <c r="G1256" i="7"/>
  <c r="A1256" i="7"/>
  <c r="F1256" i="7"/>
  <c r="G1255" i="7"/>
  <c r="A1255" i="7"/>
  <c r="F1255" i="7"/>
  <c r="G1254" i="7"/>
  <c r="A1254" i="7"/>
  <c r="F1254" i="7"/>
  <c r="G1253" i="7"/>
  <c r="A1253" i="7"/>
  <c r="F1253" i="7"/>
  <c r="G1252" i="7"/>
  <c r="A1252" i="7"/>
  <c r="F1252" i="7"/>
  <c r="G1251" i="7"/>
  <c r="A1251" i="7"/>
  <c r="F1251" i="7"/>
  <c r="G1250" i="7"/>
  <c r="A1250" i="7"/>
  <c r="F1250" i="7"/>
  <c r="G1249" i="7"/>
  <c r="A1249" i="7"/>
  <c r="F1249" i="7"/>
  <c r="G1248" i="7"/>
  <c r="A1248" i="7"/>
  <c r="F1248" i="7"/>
  <c r="G1247" i="7"/>
  <c r="A1247" i="7"/>
  <c r="F1247" i="7"/>
  <c r="G1246" i="7"/>
  <c r="A1246" i="7"/>
  <c r="F1246" i="7"/>
  <c r="G1245" i="7"/>
  <c r="A1245" i="7"/>
  <c r="F1245" i="7"/>
  <c r="G1244" i="7"/>
  <c r="A1244" i="7"/>
  <c r="F1244" i="7"/>
  <c r="G1243" i="7"/>
  <c r="A1243" i="7"/>
  <c r="F1243" i="7"/>
  <c r="G1242" i="7"/>
  <c r="A1242" i="7"/>
  <c r="F1242" i="7"/>
  <c r="G1241" i="7"/>
  <c r="A1241" i="7"/>
  <c r="F1241" i="7"/>
  <c r="G1240" i="7"/>
  <c r="A1240" i="7"/>
  <c r="F1240" i="7"/>
  <c r="G1239" i="7"/>
  <c r="A1239" i="7"/>
  <c r="F1239" i="7"/>
  <c r="G1238" i="7"/>
  <c r="A1238" i="7"/>
  <c r="F1238" i="7"/>
  <c r="G1237" i="7"/>
  <c r="A1237" i="7"/>
  <c r="F1237" i="7"/>
  <c r="G1236" i="7"/>
  <c r="A1236" i="7"/>
  <c r="F1236" i="7"/>
  <c r="G1235" i="7"/>
  <c r="A1235" i="7"/>
  <c r="F1235" i="7"/>
  <c r="G1234" i="7"/>
  <c r="A1234" i="7"/>
  <c r="F1234" i="7"/>
  <c r="G1233" i="7"/>
  <c r="A1233" i="7"/>
  <c r="F1233" i="7"/>
  <c r="G1232" i="7"/>
  <c r="A1232" i="7"/>
  <c r="F1232" i="7"/>
  <c r="G1231" i="7"/>
  <c r="A1231" i="7"/>
  <c r="F1231" i="7"/>
  <c r="G1230" i="7"/>
  <c r="A1230" i="7"/>
  <c r="F1230" i="7"/>
  <c r="G1229" i="7"/>
  <c r="A1229" i="7"/>
  <c r="F1229" i="7"/>
  <c r="G1228" i="7"/>
  <c r="A1228" i="7"/>
  <c r="F1228" i="7"/>
  <c r="G1227" i="7"/>
  <c r="A1227" i="7"/>
  <c r="F1227" i="7"/>
  <c r="G1226" i="7"/>
  <c r="A1226" i="7"/>
  <c r="F1226" i="7"/>
  <c r="G1225" i="7"/>
  <c r="A1225" i="7"/>
  <c r="F1225" i="7"/>
  <c r="G1224" i="7"/>
  <c r="A1224" i="7"/>
  <c r="F1224" i="7"/>
  <c r="G1223" i="7"/>
  <c r="A1223" i="7"/>
  <c r="F1223" i="7"/>
  <c r="G1222" i="7"/>
  <c r="A1222" i="7"/>
  <c r="F1222" i="7"/>
  <c r="G1221" i="7"/>
  <c r="A1221" i="7"/>
  <c r="F1221" i="7"/>
  <c r="G1220" i="7"/>
  <c r="A1220" i="7"/>
  <c r="F1220" i="7"/>
  <c r="G1219" i="7"/>
  <c r="A1219" i="7"/>
  <c r="F1219" i="7"/>
  <c r="G1218" i="7"/>
  <c r="A1218" i="7"/>
  <c r="F1218" i="7"/>
  <c r="G1217" i="7"/>
  <c r="A1217" i="7"/>
  <c r="F1217" i="7"/>
  <c r="G1216" i="7"/>
  <c r="A1216" i="7"/>
  <c r="F1216" i="7"/>
  <c r="G1215" i="7"/>
  <c r="A1215" i="7"/>
  <c r="F1215" i="7"/>
  <c r="G1214" i="7"/>
  <c r="A1214" i="7"/>
  <c r="F1214" i="7"/>
  <c r="G1213" i="7"/>
  <c r="A1213" i="7"/>
  <c r="F1213" i="7"/>
  <c r="G1212" i="7"/>
  <c r="A1212" i="7"/>
  <c r="F1212" i="7"/>
  <c r="G1211" i="7"/>
  <c r="A1211" i="7"/>
  <c r="F1211" i="7"/>
  <c r="G1210" i="7"/>
  <c r="A1210" i="7"/>
  <c r="F1210" i="7"/>
  <c r="G1209" i="7"/>
  <c r="A1209" i="7"/>
  <c r="F1209" i="7"/>
  <c r="G1208" i="7"/>
  <c r="A1208" i="7"/>
  <c r="F1208" i="7"/>
  <c r="G1207" i="7"/>
  <c r="A1207" i="7"/>
  <c r="F1207" i="7"/>
  <c r="G1206" i="7"/>
  <c r="A1206" i="7"/>
  <c r="F1206" i="7"/>
  <c r="G1205" i="7"/>
  <c r="A1205" i="7"/>
  <c r="F1205" i="7"/>
  <c r="G1204" i="7"/>
  <c r="A1204" i="7"/>
  <c r="F1204" i="7"/>
  <c r="G1203" i="7"/>
  <c r="A1203" i="7"/>
  <c r="F1203" i="7"/>
  <c r="G1202" i="7"/>
  <c r="A1202" i="7"/>
  <c r="F1202" i="7"/>
  <c r="G1201" i="7"/>
  <c r="A1201" i="7"/>
  <c r="F1201" i="7"/>
  <c r="G1200" i="7"/>
  <c r="A1200" i="7"/>
  <c r="F1200" i="7"/>
  <c r="G1199" i="7"/>
  <c r="A1199" i="7"/>
  <c r="F1199" i="7"/>
  <c r="G1198" i="7"/>
  <c r="A1198" i="7"/>
  <c r="F1198" i="7"/>
  <c r="G1197" i="7"/>
  <c r="A1197" i="7"/>
  <c r="F1197" i="7"/>
  <c r="G1196" i="7"/>
  <c r="A1196" i="7"/>
  <c r="F1196" i="7"/>
  <c r="G1195" i="7"/>
  <c r="A1195" i="7"/>
  <c r="F1195" i="7"/>
  <c r="G1194" i="7"/>
  <c r="A1194" i="7"/>
  <c r="F1194" i="7"/>
  <c r="G1193" i="7"/>
  <c r="A1193" i="7"/>
  <c r="F1193" i="7"/>
  <c r="G1192" i="7"/>
  <c r="A1192" i="7"/>
  <c r="F1192" i="7"/>
  <c r="G1191" i="7"/>
  <c r="A1191" i="7"/>
  <c r="F1191" i="7"/>
  <c r="G1190" i="7"/>
  <c r="A1190" i="7"/>
  <c r="F1190" i="7"/>
  <c r="G1189" i="7"/>
  <c r="A1189" i="7"/>
  <c r="F1189" i="7"/>
  <c r="G1188" i="7"/>
  <c r="A1188" i="7"/>
  <c r="F1188" i="7"/>
  <c r="G1187" i="7"/>
  <c r="A1187" i="7"/>
  <c r="F1187" i="7"/>
  <c r="G1186" i="7"/>
  <c r="A1186" i="7"/>
  <c r="F1186" i="7"/>
  <c r="G1185" i="7"/>
  <c r="A1185" i="7"/>
  <c r="F1185" i="7"/>
  <c r="G1184" i="7"/>
  <c r="A1184" i="7"/>
  <c r="F1184" i="7"/>
  <c r="G1183" i="7"/>
  <c r="A1183" i="7"/>
  <c r="F1183" i="7"/>
  <c r="G1182" i="7"/>
  <c r="A1182" i="7"/>
  <c r="F1182" i="7"/>
  <c r="G1181" i="7"/>
  <c r="A1181" i="7"/>
  <c r="F1181" i="7"/>
  <c r="G1180" i="7"/>
  <c r="A1180" i="7"/>
  <c r="F1180" i="7"/>
  <c r="G1179" i="7"/>
  <c r="A1179" i="7"/>
  <c r="F1179" i="7"/>
  <c r="G1178" i="7"/>
  <c r="A1178" i="7"/>
  <c r="F1178" i="7"/>
  <c r="G1177" i="7"/>
  <c r="A1177" i="7"/>
  <c r="F1177" i="7"/>
  <c r="G1176" i="7"/>
  <c r="A1176" i="7"/>
  <c r="F1176" i="7"/>
  <c r="G1175" i="7"/>
  <c r="A1175" i="7"/>
  <c r="F1175" i="7"/>
  <c r="G1174" i="7"/>
  <c r="A1174" i="7"/>
  <c r="F1174" i="7"/>
  <c r="G1173" i="7"/>
  <c r="A1173" i="7"/>
  <c r="F1173" i="7"/>
  <c r="G1172" i="7"/>
  <c r="A1172" i="7"/>
  <c r="F1172" i="7"/>
  <c r="G1171" i="7"/>
  <c r="A1171" i="7"/>
  <c r="F1171" i="7"/>
  <c r="G1170" i="7"/>
  <c r="A1170" i="7"/>
  <c r="F1170" i="7"/>
  <c r="G1169" i="7"/>
  <c r="A1169" i="7"/>
  <c r="F1169" i="7"/>
  <c r="G1168" i="7"/>
  <c r="A1168" i="7"/>
  <c r="F1168" i="7"/>
  <c r="G1167" i="7"/>
  <c r="A1167" i="7"/>
  <c r="F1167" i="7"/>
  <c r="G1166" i="7"/>
  <c r="A1166" i="7"/>
  <c r="F1166" i="7"/>
  <c r="G1165" i="7"/>
  <c r="A1165" i="7"/>
  <c r="F1165" i="7"/>
  <c r="G1164" i="7"/>
  <c r="A1164" i="7"/>
  <c r="F1164" i="7"/>
  <c r="G1163" i="7"/>
  <c r="A1163" i="7"/>
  <c r="F1163" i="7"/>
  <c r="G1162" i="7"/>
  <c r="A1162" i="7"/>
  <c r="F1162" i="7"/>
  <c r="G1161" i="7"/>
  <c r="A1161" i="7"/>
  <c r="F1161" i="7"/>
  <c r="G1160" i="7"/>
  <c r="A1160" i="7"/>
  <c r="F1160" i="7"/>
  <c r="G1159" i="7"/>
  <c r="A1159" i="7"/>
  <c r="F1159" i="7"/>
  <c r="G1158" i="7"/>
  <c r="A1158" i="7"/>
  <c r="F1158" i="7"/>
  <c r="G1157" i="7"/>
  <c r="A1157" i="7"/>
  <c r="F1157" i="7"/>
  <c r="G1156" i="7"/>
  <c r="A1156" i="7"/>
  <c r="F1156" i="7"/>
  <c r="G1155" i="7"/>
  <c r="A1155" i="7"/>
  <c r="F1155" i="7"/>
  <c r="G1154" i="7"/>
  <c r="A1154" i="7"/>
  <c r="F1154" i="7"/>
  <c r="G1153" i="7"/>
  <c r="A1153" i="7"/>
  <c r="F1153" i="7"/>
  <c r="G1152" i="7"/>
  <c r="A1152" i="7"/>
  <c r="F1152" i="7"/>
  <c r="G1151" i="7"/>
  <c r="A1151" i="7"/>
  <c r="F1151" i="7"/>
  <c r="G1150" i="7"/>
  <c r="A1150" i="7"/>
  <c r="F1150" i="7"/>
  <c r="G1149" i="7"/>
  <c r="A1149" i="7"/>
  <c r="F1149" i="7"/>
  <c r="G1148" i="7"/>
  <c r="A1148" i="7"/>
  <c r="F1148" i="7"/>
  <c r="G1147" i="7"/>
  <c r="A1147" i="7"/>
  <c r="F1147" i="7"/>
  <c r="G1146" i="7"/>
  <c r="A1146" i="7"/>
  <c r="F1146" i="7"/>
  <c r="G1145" i="7"/>
  <c r="A1145" i="7"/>
  <c r="F1145" i="7"/>
  <c r="G1144" i="7"/>
  <c r="A1144" i="7"/>
  <c r="F1144" i="7"/>
  <c r="G1143" i="7"/>
  <c r="A1143" i="7"/>
  <c r="F1143" i="7"/>
  <c r="G1142" i="7"/>
  <c r="A1142" i="7"/>
  <c r="F1142" i="7"/>
  <c r="G1141" i="7"/>
  <c r="A1141" i="7"/>
  <c r="F1141" i="7"/>
  <c r="G1140" i="7"/>
  <c r="A1140" i="7"/>
  <c r="F1140" i="7"/>
  <c r="G1139" i="7"/>
  <c r="A1139" i="7"/>
  <c r="F1139" i="7"/>
  <c r="G1138" i="7"/>
  <c r="A1138" i="7"/>
  <c r="F1138" i="7"/>
  <c r="G1137" i="7"/>
  <c r="A1137" i="7"/>
  <c r="F1137" i="7"/>
  <c r="G1136" i="7"/>
  <c r="A1136" i="7"/>
  <c r="F1136" i="7"/>
  <c r="G1135" i="7"/>
  <c r="A1135" i="7"/>
  <c r="F1135" i="7"/>
  <c r="G1134" i="7"/>
  <c r="A1134" i="7"/>
  <c r="F1134" i="7"/>
  <c r="G1133" i="7"/>
  <c r="A1133" i="7"/>
  <c r="F1133" i="7"/>
  <c r="G1132" i="7"/>
  <c r="A1132" i="7"/>
  <c r="F1132" i="7"/>
  <c r="G1131" i="7"/>
  <c r="A1131" i="7"/>
  <c r="F1131" i="7"/>
  <c r="G1130" i="7"/>
  <c r="A1130" i="7"/>
  <c r="F1130" i="7"/>
  <c r="G1129" i="7"/>
  <c r="A1129" i="7"/>
  <c r="F1129" i="7"/>
  <c r="G1128" i="7"/>
  <c r="A1128" i="7"/>
  <c r="F1128" i="7"/>
  <c r="G1127" i="7"/>
  <c r="A1127" i="7"/>
  <c r="F1127" i="7"/>
  <c r="G1126" i="7"/>
  <c r="A1126" i="7"/>
  <c r="F1126" i="7"/>
  <c r="G1125" i="7"/>
  <c r="A1125" i="7"/>
  <c r="F1125" i="7"/>
  <c r="G1124" i="7"/>
  <c r="A1124" i="7"/>
  <c r="F1124" i="7"/>
  <c r="G1123" i="7"/>
  <c r="A1123" i="7"/>
  <c r="F1123" i="7"/>
  <c r="G1122" i="7"/>
  <c r="A1122" i="7"/>
  <c r="F1122" i="7"/>
  <c r="G1121" i="7"/>
  <c r="A1121" i="7"/>
  <c r="F1121" i="7"/>
  <c r="G1120" i="7"/>
  <c r="A1120" i="7"/>
  <c r="F1120" i="7"/>
  <c r="G1119" i="7"/>
  <c r="A1119" i="7"/>
  <c r="F1119" i="7"/>
  <c r="G1118" i="7"/>
  <c r="A1118" i="7"/>
  <c r="F1118" i="7"/>
  <c r="G1117" i="7"/>
  <c r="A1117" i="7"/>
  <c r="F1117" i="7"/>
  <c r="G1116" i="7"/>
  <c r="A1116" i="7"/>
  <c r="F1116" i="7"/>
  <c r="G1115" i="7"/>
  <c r="A1115" i="7"/>
  <c r="F1115" i="7"/>
  <c r="G1114" i="7"/>
  <c r="A1114" i="7"/>
  <c r="F1114" i="7"/>
  <c r="G1113" i="7"/>
  <c r="A1113" i="7"/>
  <c r="F1113" i="7"/>
  <c r="G1112" i="7"/>
  <c r="A1112" i="7"/>
  <c r="F1112" i="7"/>
  <c r="G1111" i="7"/>
  <c r="A1111" i="7"/>
  <c r="F1111" i="7"/>
  <c r="G1110" i="7"/>
  <c r="A1110" i="7"/>
  <c r="F1110" i="7"/>
  <c r="G1109" i="7"/>
  <c r="A1109" i="7"/>
  <c r="F1109" i="7"/>
  <c r="G1108" i="7"/>
  <c r="A1108" i="7"/>
  <c r="F1108" i="7"/>
  <c r="G1107" i="7"/>
  <c r="A1107" i="7"/>
  <c r="F1107" i="7"/>
  <c r="G1106" i="7"/>
  <c r="A1106" i="7"/>
  <c r="F1106" i="7"/>
  <c r="G1105" i="7"/>
  <c r="A1105" i="7"/>
  <c r="F1105" i="7"/>
  <c r="G1104" i="7"/>
  <c r="A1104" i="7"/>
  <c r="F1104" i="7"/>
  <c r="G1103" i="7"/>
  <c r="A1103" i="7"/>
  <c r="F1103" i="7"/>
  <c r="G1102" i="7"/>
  <c r="A1102" i="7"/>
  <c r="F1102" i="7"/>
  <c r="G1101" i="7"/>
  <c r="A1101" i="7"/>
  <c r="F1101" i="7"/>
  <c r="G1100" i="7"/>
  <c r="A1100" i="7"/>
  <c r="F1100" i="7"/>
  <c r="G1099" i="7"/>
  <c r="A1099" i="7"/>
  <c r="F1099" i="7"/>
  <c r="G1098" i="7"/>
  <c r="A1098" i="7"/>
  <c r="F1098" i="7"/>
  <c r="G1097" i="7"/>
  <c r="A1097" i="7"/>
  <c r="F1097" i="7"/>
  <c r="G1096" i="7"/>
  <c r="A1096" i="7"/>
  <c r="F1096" i="7"/>
  <c r="G1095" i="7"/>
  <c r="A1095" i="7"/>
  <c r="F1095" i="7"/>
  <c r="G1094" i="7"/>
  <c r="A1094" i="7"/>
  <c r="F1094" i="7"/>
  <c r="G1093" i="7"/>
  <c r="A1093" i="7"/>
  <c r="F1093" i="7"/>
  <c r="G1092" i="7"/>
  <c r="A1092" i="7"/>
  <c r="F1092" i="7"/>
  <c r="G1091" i="7"/>
  <c r="A1091" i="7"/>
  <c r="F1091" i="7"/>
  <c r="G1090" i="7"/>
  <c r="A1090" i="7"/>
  <c r="F1090" i="7"/>
  <c r="G1089" i="7"/>
  <c r="A1089" i="7"/>
  <c r="F1089" i="7"/>
  <c r="G1088" i="7"/>
  <c r="A1088" i="7"/>
  <c r="F1088" i="7"/>
  <c r="G1087" i="7"/>
  <c r="A1087" i="7"/>
  <c r="F1087" i="7"/>
  <c r="G1086" i="7"/>
  <c r="A1086" i="7"/>
  <c r="F1086" i="7"/>
  <c r="G1085" i="7"/>
  <c r="A1085" i="7"/>
  <c r="F1085" i="7"/>
  <c r="G1084" i="7"/>
  <c r="A1084" i="7"/>
  <c r="F1084" i="7"/>
  <c r="G1083" i="7"/>
  <c r="A1083" i="7"/>
  <c r="F1083" i="7"/>
  <c r="G1082" i="7"/>
  <c r="A1082" i="7"/>
  <c r="F1082" i="7"/>
  <c r="G1081" i="7"/>
  <c r="A1081" i="7"/>
  <c r="F1081" i="7"/>
  <c r="G1080" i="7"/>
  <c r="A1080" i="7"/>
  <c r="F1080" i="7"/>
  <c r="G1079" i="7"/>
  <c r="A1079" i="7"/>
  <c r="F1079" i="7"/>
  <c r="G1078" i="7"/>
  <c r="A1078" i="7"/>
  <c r="F1078" i="7"/>
  <c r="G1077" i="7"/>
  <c r="A1077" i="7"/>
  <c r="F1077" i="7"/>
  <c r="G1076" i="7"/>
  <c r="A1076" i="7"/>
  <c r="F1076" i="7"/>
  <c r="G1075" i="7"/>
  <c r="A1075" i="7"/>
  <c r="F1075" i="7"/>
  <c r="G1074" i="7"/>
  <c r="A1074" i="7"/>
  <c r="F1074" i="7"/>
  <c r="G1073" i="7"/>
  <c r="A1073" i="7"/>
  <c r="F1073" i="7"/>
  <c r="G1072" i="7"/>
  <c r="A1072" i="7"/>
  <c r="F1072" i="7"/>
  <c r="G1071" i="7"/>
  <c r="A1071" i="7"/>
  <c r="F1071" i="7"/>
  <c r="G1070" i="7"/>
  <c r="A1070" i="7"/>
  <c r="F1070" i="7"/>
  <c r="G1069" i="7"/>
  <c r="A1069" i="7"/>
  <c r="F1069" i="7"/>
  <c r="G1068" i="7"/>
  <c r="A1068" i="7"/>
  <c r="F1068" i="7"/>
  <c r="G1067" i="7"/>
  <c r="A1067" i="7"/>
  <c r="F1067" i="7"/>
  <c r="G1066" i="7"/>
  <c r="A1066" i="7"/>
  <c r="F1066" i="7"/>
  <c r="G1065" i="7"/>
  <c r="A1065" i="7"/>
  <c r="F1065" i="7"/>
  <c r="G1064" i="7"/>
  <c r="A1064" i="7"/>
  <c r="F1064" i="7"/>
  <c r="G1063" i="7"/>
  <c r="A1063" i="7"/>
  <c r="F1063" i="7"/>
  <c r="G1062" i="7"/>
  <c r="A1062" i="7"/>
  <c r="F1062" i="7"/>
  <c r="G1061" i="7"/>
  <c r="A1061" i="7"/>
  <c r="F1061" i="7"/>
  <c r="G1060" i="7"/>
  <c r="A1060" i="7"/>
  <c r="F1060" i="7"/>
  <c r="G1059" i="7"/>
  <c r="A1059" i="7"/>
  <c r="F1059" i="7"/>
  <c r="G1058" i="7"/>
  <c r="A1058" i="7"/>
  <c r="F1058" i="7"/>
  <c r="G1057" i="7"/>
  <c r="A1057" i="7"/>
  <c r="F1057" i="7"/>
  <c r="G1056" i="7"/>
  <c r="A1056" i="7"/>
  <c r="F1056" i="7"/>
  <c r="G1055" i="7"/>
  <c r="A1055" i="7"/>
  <c r="F1055" i="7"/>
  <c r="G1054" i="7"/>
  <c r="A1054" i="7"/>
  <c r="F1054" i="7"/>
  <c r="G1053" i="7"/>
  <c r="A1053" i="7"/>
  <c r="F1053" i="7"/>
  <c r="G1052" i="7"/>
  <c r="A1052" i="7"/>
  <c r="F1052" i="7"/>
  <c r="G1051" i="7"/>
  <c r="A1051" i="7"/>
  <c r="F1051" i="7"/>
  <c r="G1050" i="7"/>
  <c r="A1050" i="7"/>
  <c r="F1050" i="7"/>
  <c r="G1049" i="7"/>
  <c r="A1049" i="7"/>
  <c r="F1049" i="7"/>
  <c r="G1048" i="7"/>
  <c r="A1048" i="7"/>
  <c r="F1048" i="7"/>
  <c r="G1047" i="7"/>
  <c r="A1047" i="7"/>
  <c r="F1047" i="7"/>
  <c r="G1046" i="7"/>
  <c r="A1046" i="7"/>
  <c r="F1046" i="7"/>
  <c r="G1045" i="7"/>
  <c r="A1045" i="7"/>
  <c r="F1045" i="7"/>
  <c r="G1044" i="7"/>
  <c r="A1044" i="7"/>
  <c r="F1044" i="7"/>
  <c r="G1043" i="7"/>
  <c r="A1043" i="7"/>
  <c r="F1043" i="7"/>
  <c r="G1042" i="7"/>
  <c r="A1042" i="7"/>
  <c r="F1042" i="7"/>
  <c r="G1041" i="7"/>
  <c r="A1041" i="7"/>
  <c r="F1041" i="7"/>
  <c r="G1040" i="7"/>
  <c r="A1040" i="7"/>
  <c r="F1040" i="7"/>
  <c r="G1039" i="7"/>
  <c r="A1039" i="7"/>
  <c r="F1039" i="7"/>
  <c r="G1038" i="7"/>
  <c r="A1038" i="7"/>
  <c r="F1038" i="7"/>
  <c r="G1037" i="7"/>
  <c r="A1037" i="7"/>
  <c r="F1037" i="7"/>
  <c r="G1036" i="7"/>
  <c r="A1036" i="7"/>
  <c r="F1036" i="7"/>
  <c r="G1035" i="7"/>
  <c r="A1035" i="7"/>
  <c r="F1035" i="7"/>
  <c r="G1034" i="7"/>
  <c r="A1034" i="7"/>
  <c r="F1034" i="7"/>
  <c r="G1033" i="7"/>
  <c r="A1033" i="7"/>
  <c r="F1033" i="7"/>
  <c r="G1032" i="7"/>
  <c r="A1032" i="7"/>
  <c r="F1032" i="7"/>
  <c r="G1031" i="7"/>
  <c r="A1031" i="7"/>
  <c r="F1031" i="7"/>
  <c r="G1030" i="7"/>
  <c r="A1030" i="7"/>
  <c r="F1030" i="7"/>
  <c r="G1029" i="7"/>
  <c r="A1029" i="7"/>
  <c r="F1029" i="7"/>
  <c r="G1028" i="7"/>
  <c r="A1028" i="7"/>
  <c r="F1028" i="7"/>
  <c r="G1027" i="7"/>
  <c r="A1027" i="7"/>
  <c r="F1027" i="7"/>
  <c r="G1026" i="7"/>
  <c r="A1026" i="7"/>
  <c r="F1026" i="7"/>
  <c r="G1025" i="7"/>
  <c r="A1025" i="7"/>
  <c r="F1025" i="7"/>
  <c r="G1024" i="7"/>
  <c r="A1024" i="7"/>
  <c r="F1024" i="7"/>
  <c r="G1023" i="7"/>
  <c r="A1023" i="7"/>
  <c r="F1023" i="7"/>
  <c r="G1022" i="7"/>
  <c r="A1022" i="7"/>
  <c r="F1022" i="7"/>
  <c r="G1021" i="7"/>
  <c r="A1021" i="7"/>
  <c r="F1021" i="7"/>
  <c r="G1020" i="7"/>
  <c r="A1020" i="7"/>
  <c r="F1020" i="7"/>
  <c r="G1019" i="7"/>
  <c r="A1019" i="7"/>
  <c r="F1019" i="7"/>
  <c r="G1018" i="7"/>
  <c r="A1018" i="7"/>
  <c r="F1018" i="7"/>
  <c r="G1017" i="7"/>
  <c r="A1017" i="7"/>
  <c r="F1017" i="7"/>
  <c r="G1016" i="7"/>
  <c r="A1016" i="7"/>
  <c r="F1016" i="7"/>
  <c r="G1015" i="7"/>
  <c r="A1015" i="7"/>
  <c r="F1015" i="7"/>
  <c r="G1014" i="7"/>
  <c r="A1014" i="7"/>
  <c r="F1014" i="7"/>
  <c r="G1013" i="7"/>
  <c r="A1013" i="7"/>
  <c r="F1013" i="7"/>
  <c r="G1012" i="7"/>
  <c r="A1012" i="7"/>
  <c r="F1012" i="7"/>
  <c r="G1011" i="7"/>
  <c r="A1011" i="7"/>
  <c r="F1011" i="7"/>
  <c r="G1010" i="7"/>
  <c r="A1010" i="7"/>
  <c r="F1010" i="7"/>
  <c r="G1009" i="7"/>
  <c r="A1009" i="7"/>
  <c r="F1009" i="7"/>
  <c r="G1008" i="7"/>
  <c r="A1008" i="7"/>
  <c r="F1008" i="7"/>
  <c r="G1007" i="7"/>
  <c r="A1007" i="7"/>
  <c r="F1007" i="7"/>
  <c r="G1006" i="7"/>
  <c r="A1006" i="7"/>
  <c r="F1006" i="7"/>
  <c r="G1005" i="7"/>
  <c r="A1005" i="7"/>
  <c r="F1005" i="7"/>
  <c r="G1004" i="7"/>
  <c r="A1004" i="7"/>
  <c r="F1004" i="7"/>
  <c r="G1003" i="7"/>
  <c r="A1003" i="7"/>
  <c r="F1003" i="7"/>
  <c r="G1002" i="7"/>
  <c r="A1002" i="7"/>
  <c r="F1002" i="7"/>
  <c r="G1001" i="7"/>
  <c r="A1001" i="7"/>
  <c r="F1001" i="7"/>
  <c r="G1000" i="7"/>
  <c r="A1000" i="7"/>
  <c r="F1000" i="7"/>
  <c r="G999" i="7"/>
  <c r="A999" i="7"/>
  <c r="F999" i="7"/>
  <c r="G998" i="7"/>
  <c r="A998" i="7"/>
  <c r="F998" i="7"/>
  <c r="G997" i="7"/>
  <c r="A997" i="7"/>
  <c r="F997" i="7"/>
  <c r="G996" i="7"/>
  <c r="A996" i="7"/>
  <c r="F996" i="7"/>
  <c r="G995" i="7"/>
  <c r="A995" i="7"/>
  <c r="F995" i="7"/>
  <c r="G994" i="7"/>
  <c r="A994" i="7"/>
  <c r="F994" i="7"/>
  <c r="G993" i="7"/>
  <c r="A993" i="7"/>
  <c r="F993" i="7"/>
  <c r="G992" i="7"/>
  <c r="A992" i="7"/>
  <c r="F992" i="7"/>
  <c r="G991" i="7"/>
  <c r="A991" i="7"/>
  <c r="F991" i="7"/>
  <c r="G990" i="7"/>
  <c r="A990" i="7"/>
  <c r="F990" i="7"/>
  <c r="G989" i="7"/>
  <c r="A989" i="7"/>
  <c r="F989" i="7"/>
  <c r="G988" i="7"/>
  <c r="A988" i="7"/>
  <c r="F988" i="7"/>
  <c r="G987" i="7"/>
  <c r="A987" i="7"/>
  <c r="F987" i="7"/>
  <c r="G986" i="7"/>
  <c r="A986" i="7"/>
  <c r="F986" i="7"/>
  <c r="G985" i="7"/>
  <c r="A985" i="7"/>
  <c r="F985" i="7"/>
  <c r="G984" i="7"/>
  <c r="A984" i="7"/>
  <c r="F984" i="7"/>
  <c r="G983" i="7"/>
  <c r="A983" i="7"/>
  <c r="F983" i="7"/>
  <c r="G982" i="7"/>
  <c r="A982" i="7"/>
  <c r="F982" i="7"/>
  <c r="G981" i="7"/>
  <c r="A981" i="7"/>
  <c r="F981" i="7"/>
  <c r="G980" i="7"/>
  <c r="A980" i="7"/>
  <c r="F980" i="7"/>
  <c r="G979" i="7"/>
  <c r="A979" i="7"/>
  <c r="F979" i="7"/>
  <c r="G978" i="7"/>
  <c r="A978" i="7"/>
  <c r="F978" i="7"/>
  <c r="G977" i="7"/>
  <c r="A977" i="7"/>
  <c r="F977" i="7"/>
  <c r="G976" i="7"/>
  <c r="A976" i="7"/>
  <c r="F976" i="7"/>
  <c r="G975" i="7"/>
  <c r="A975" i="7"/>
  <c r="F975" i="7"/>
  <c r="G974" i="7"/>
  <c r="A974" i="7"/>
  <c r="F974" i="7"/>
  <c r="G973" i="7"/>
  <c r="A973" i="7"/>
  <c r="F973" i="7"/>
  <c r="G972" i="7"/>
  <c r="A972" i="7"/>
  <c r="F972" i="7"/>
  <c r="G971" i="7"/>
  <c r="A971" i="7"/>
  <c r="F971" i="7"/>
  <c r="G970" i="7"/>
  <c r="A970" i="7"/>
  <c r="F970" i="7"/>
  <c r="G969" i="7"/>
  <c r="A969" i="7"/>
  <c r="F969" i="7"/>
  <c r="G968" i="7"/>
  <c r="A968" i="7"/>
  <c r="F968" i="7"/>
  <c r="G967" i="7"/>
  <c r="A967" i="7"/>
  <c r="F967" i="7"/>
  <c r="G966" i="7"/>
  <c r="A966" i="7"/>
  <c r="F966" i="7"/>
  <c r="G965" i="7"/>
  <c r="A965" i="7"/>
  <c r="F965" i="7"/>
  <c r="G964" i="7"/>
  <c r="A964" i="7"/>
  <c r="F964" i="7"/>
  <c r="G963" i="7"/>
  <c r="A963" i="7"/>
  <c r="F963" i="7"/>
  <c r="G962" i="7"/>
  <c r="A962" i="7"/>
  <c r="F962" i="7"/>
  <c r="G961" i="7"/>
  <c r="A961" i="7"/>
  <c r="F961" i="7"/>
  <c r="G960" i="7"/>
  <c r="A960" i="7"/>
  <c r="F960" i="7"/>
  <c r="G959" i="7"/>
  <c r="A959" i="7"/>
  <c r="F959" i="7"/>
  <c r="G958" i="7"/>
  <c r="A958" i="7"/>
  <c r="F958" i="7"/>
  <c r="G957" i="7"/>
  <c r="A957" i="7"/>
  <c r="F957" i="7"/>
  <c r="G956" i="7"/>
  <c r="A956" i="7"/>
  <c r="F956" i="7"/>
  <c r="G955" i="7"/>
  <c r="A955" i="7"/>
  <c r="F955" i="7"/>
  <c r="G954" i="7"/>
  <c r="A954" i="7"/>
  <c r="F954" i="7"/>
  <c r="G953" i="7"/>
  <c r="A953" i="7"/>
  <c r="F953" i="7"/>
  <c r="G952" i="7"/>
  <c r="A952" i="7"/>
  <c r="F952" i="7"/>
  <c r="G951" i="7"/>
  <c r="A951" i="7"/>
  <c r="F951" i="7"/>
  <c r="G950" i="7"/>
  <c r="A950" i="7"/>
  <c r="F950" i="7"/>
  <c r="G949" i="7"/>
  <c r="A949" i="7"/>
  <c r="F949" i="7"/>
  <c r="G948" i="7"/>
  <c r="A948" i="7"/>
  <c r="F948" i="7"/>
  <c r="G947" i="7"/>
  <c r="A947" i="7"/>
  <c r="F947" i="7"/>
  <c r="G946" i="7"/>
  <c r="A946" i="7"/>
  <c r="F946" i="7"/>
  <c r="G945" i="7"/>
  <c r="A945" i="7"/>
  <c r="F945" i="7"/>
  <c r="G944" i="7"/>
  <c r="A944" i="7"/>
  <c r="F944" i="7"/>
  <c r="G943" i="7"/>
  <c r="A943" i="7"/>
  <c r="F943" i="7"/>
  <c r="G942" i="7"/>
  <c r="A942" i="7"/>
  <c r="F942" i="7"/>
  <c r="G941" i="7"/>
  <c r="A941" i="7"/>
  <c r="F941" i="7"/>
  <c r="G940" i="7"/>
  <c r="A940" i="7"/>
  <c r="F940" i="7"/>
  <c r="G939" i="7"/>
  <c r="A939" i="7"/>
  <c r="F939" i="7"/>
  <c r="G938" i="7"/>
  <c r="A938" i="7"/>
  <c r="F938" i="7"/>
  <c r="G937" i="7"/>
  <c r="A937" i="7"/>
  <c r="F937" i="7"/>
  <c r="G936" i="7"/>
  <c r="A936" i="7"/>
  <c r="F936" i="7"/>
  <c r="G935" i="7"/>
  <c r="A935" i="7"/>
  <c r="F935" i="7"/>
  <c r="G934" i="7"/>
  <c r="A934" i="7"/>
  <c r="F934" i="7"/>
  <c r="G933" i="7"/>
  <c r="A933" i="7"/>
  <c r="F933" i="7"/>
  <c r="G932" i="7"/>
  <c r="A932" i="7"/>
  <c r="F932" i="7"/>
  <c r="G931" i="7"/>
  <c r="A931" i="7"/>
  <c r="F931" i="7"/>
  <c r="G930" i="7"/>
  <c r="A930" i="7"/>
  <c r="F930" i="7"/>
  <c r="G929" i="7"/>
  <c r="A929" i="7"/>
  <c r="F929" i="7"/>
  <c r="G928" i="7"/>
  <c r="A928" i="7"/>
  <c r="F928" i="7"/>
  <c r="G927" i="7"/>
  <c r="A927" i="7"/>
  <c r="F927" i="7"/>
  <c r="G926" i="7"/>
  <c r="A926" i="7"/>
  <c r="F926" i="7"/>
  <c r="G925" i="7"/>
  <c r="A925" i="7"/>
  <c r="F925" i="7"/>
  <c r="G924" i="7"/>
  <c r="A924" i="7"/>
  <c r="F924" i="7"/>
  <c r="G923" i="7"/>
  <c r="A923" i="7"/>
  <c r="F923" i="7"/>
  <c r="G922" i="7"/>
  <c r="A922" i="7"/>
  <c r="F922" i="7"/>
  <c r="G921" i="7"/>
  <c r="A921" i="7"/>
  <c r="F921" i="7"/>
  <c r="G920" i="7"/>
  <c r="A920" i="7"/>
  <c r="F920" i="7"/>
  <c r="G919" i="7"/>
  <c r="A919" i="7"/>
  <c r="F919" i="7"/>
  <c r="G918" i="7"/>
  <c r="A918" i="7"/>
  <c r="F918" i="7"/>
  <c r="G917" i="7"/>
  <c r="A917" i="7"/>
  <c r="F917" i="7"/>
  <c r="G916" i="7"/>
  <c r="A916" i="7"/>
  <c r="F916" i="7"/>
  <c r="G915" i="7"/>
  <c r="A915" i="7"/>
  <c r="F915" i="7"/>
  <c r="G914" i="7"/>
  <c r="A914" i="7"/>
  <c r="F914" i="7"/>
  <c r="G913" i="7"/>
  <c r="A913" i="7"/>
  <c r="F913" i="7"/>
  <c r="G912" i="7"/>
  <c r="A912" i="7"/>
  <c r="F912" i="7"/>
  <c r="G911" i="7"/>
  <c r="A911" i="7"/>
  <c r="F911" i="7"/>
  <c r="G910" i="7"/>
  <c r="A910" i="7"/>
  <c r="F910" i="7"/>
  <c r="G909" i="7"/>
  <c r="A909" i="7"/>
  <c r="F909" i="7"/>
  <c r="G908" i="7"/>
  <c r="A908" i="7"/>
  <c r="F908" i="7"/>
  <c r="G907" i="7"/>
  <c r="A907" i="7"/>
  <c r="F907" i="7"/>
  <c r="G906" i="7"/>
  <c r="A906" i="7"/>
  <c r="F906" i="7"/>
  <c r="G905" i="7"/>
  <c r="A905" i="7"/>
  <c r="F905" i="7"/>
  <c r="G904" i="7"/>
  <c r="A904" i="7"/>
  <c r="F904" i="7"/>
  <c r="G903" i="7"/>
  <c r="A903" i="7"/>
  <c r="F903" i="7"/>
  <c r="G902" i="7"/>
  <c r="A902" i="7"/>
  <c r="F902" i="7"/>
  <c r="G901" i="7"/>
  <c r="A901" i="7"/>
  <c r="F901" i="7"/>
  <c r="G900" i="7"/>
  <c r="A900" i="7"/>
  <c r="F900" i="7"/>
  <c r="G899" i="7"/>
  <c r="A899" i="7"/>
  <c r="F899" i="7"/>
  <c r="G898" i="7"/>
  <c r="A898" i="7"/>
  <c r="F898" i="7"/>
  <c r="G897" i="7"/>
  <c r="A897" i="7"/>
  <c r="F897" i="7"/>
  <c r="G896" i="7"/>
  <c r="A896" i="7"/>
  <c r="F896" i="7"/>
  <c r="G895" i="7"/>
  <c r="A895" i="7"/>
  <c r="F895" i="7"/>
  <c r="G894" i="7"/>
  <c r="A894" i="7"/>
  <c r="F894" i="7"/>
  <c r="G893" i="7"/>
  <c r="A893" i="7"/>
  <c r="F893" i="7"/>
  <c r="G892" i="7"/>
  <c r="A892" i="7"/>
  <c r="F892" i="7"/>
  <c r="G891" i="7"/>
  <c r="A891" i="7"/>
  <c r="F891" i="7"/>
  <c r="G890" i="7"/>
  <c r="A890" i="7"/>
  <c r="F890" i="7"/>
  <c r="G889" i="7"/>
  <c r="A889" i="7"/>
  <c r="F889" i="7"/>
  <c r="G888" i="7"/>
  <c r="A888" i="7"/>
  <c r="F888" i="7"/>
  <c r="G887" i="7"/>
  <c r="A887" i="7"/>
  <c r="F887" i="7"/>
  <c r="G886" i="7"/>
  <c r="A886" i="7"/>
  <c r="F886" i="7"/>
  <c r="G885" i="7"/>
  <c r="A885" i="7"/>
  <c r="F885" i="7"/>
  <c r="G884" i="7"/>
  <c r="A884" i="7"/>
  <c r="F884" i="7"/>
  <c r="G883" i="7"/>
  <c r="A883" i="7"/>
  <c r="F883" i="7"/>
  <c r="G882" i="7"/>
  <c r="A882" i="7"/>
  <c r="F882" i="7"/>
  <c r="G881" i="7"/>
  <c r="A881" i="7"/>
  <c r="F881" i="7"/>
  <c r="G880" i="7"/>
  <c r="A880" i="7"/>
  <c r="F880" i="7"/>
  <c r="G879" i="7"/>
  <c r="A879" i="7"/>
  <c r="F879" i="7"/>
  <c r="G878" i="7"/>
  <c r="A878" i="7"/>
  <c r="F878" i="7"/>
  <c r="G877" i="7"/>
  <c r="A877" i="7"/>
  <c r="F877" i="7"/>
  <c r="G876" i="7"/>
  <c r="A876" i="7"/>
  <c r="F876" i="7"/>
  <c r="G875" i="7"/>
  <c r="A875" i="7"/>
  <c r="F875" i="7"/>
  <c r="G874" i="7"/>
  <c r="A874" i="7"/>
  <c r="F874" i="7"/>
  <c r="G873" i="7"/>
  <c r="A873" i="7"/>
  <c r="F873" i="7"/>
  <c r="G872" i="7"/>
  <c r="A872" i="7"/>
  <c r="F872" i="7"/>
  <c r="G871" i="7"/>
  <c r="A871" i="7"/>
  <c r="F871" i="7"/>
  <c r="G870" i="7"/>
  <c r="A870" i="7"/>
  <c r="F870" i="7"/>
  <c r="G869" i="7"/>
  <c r="A869" i="7"/>
  <c r="F869" i="7"/>
  <c r="G868" i="7"/>
  <c r="A868" i="7"/>
  <c r="F868" i="7"/>
  <c r="G867" i="7"/>
  <c r="A867" i="7"/>
  <c r="F867" i="7"/>
  <c r="G866" i="7"/>
  <c r="A866" i="7"/>
  <c r="F866" i="7"/>
  <c r="G865" i="7"/>
  <c r="A865" i="7"/>
  <c r="F865" i="7"/>
  <c r="G864" i="7"/>
  <c r="A864" i="7"/>
  <c r="F864" i="7"/>
  <c r="G863" i="7"/>
  <c r="A863" i="7"/>
  <c r="F863" i="7"/>
  <c r="G862" i="7"/>
  <c r="A862" i="7"/>
  <c r="F862" i="7"/>
  <c r="G861" i="7"/>
  <c r="A861" i="7"/>
  <c r="F861" i="7"/>
  <c r="G860" i="7"/>
  <c r="A860" i="7"/>
  <c r="F860" i="7"/>
  <c r="G859" i="7"/>
  <c r="A859" i="7"/>
  <c r="F859" i="7"/>
  <c r="G858" i="7"/>
  <c r="A858" i="7"/>
  <c r="F858" i="7"/>
  <c r="G857" i="7"/>
  <c r="A857" i="7"/>
  <c r="F857" i="7"/>
  <c r="G856" i="7"/>
  <c r="A856" i="7"/>
  <c r="F856" i="7"/>
  <c r="G855" i="7"/>
  <c r="A855" i="7"/>
  <c r="F855" i="7"/>
  <c r="G854" i="7"/>
  <c r="A854" i="7"/>
  <c r="F854" i="7"/>
  <c r="G853" i="7"/>
  <c r="A853" i="7"/>
  <c r="F853" i="7"/>
  <c r="G852" i="7"/>
  <c r="A852" i="7"/>
  <c r="F852" i="7"/>
  <c r="G851" i="7"/>
  <c r="A851" i="7"/>
  <c r="F851" i="7"/>
  <c r="G850" i="7"/>
  <c r="A850" i="7"/>
  <c r="F850" i="7"/>
  <c r="G849" i="7"/>
  <c r="A849" i="7"/>
  <c r="F849" i="7"/>
  <c r="G848" i="7"/>
  <c r="A848" i="7"/>
  <c r="F848" i="7"/>
  <c r="G847" i="7"/>
  <c r="A847" i="7"/>
  <c r="F847" i="7"/>
  <c r="G846" i="7"/>
  <c r="A846" i="7"/>
  <c r="F846" i="7"/>
  <c r="G845" i="7"/>
  <c r="A845" i="7"/>
  <c r="F845" i="7"/>
  <c r="G844" i="7"/>
  <c r="A844" i="7"/>
  <c r="F844" i="7"/>
  <c r="G843" i="7"/>
  <c r="A843" i="7"/>
  <c r="F843" i="7"/>
  <c r="G842" i="7"/>
  <c r="A842" i="7"/>
  <c r="F842" i="7"/>
  <c r="G841" i="7"/>
  <c r="A841" i="7"/>
  <c r="F841" i="7"/>
  <c r="G840" i="7"/>
  <c r="A840" i="7"/>
  <c r="F840" i="7"/>
  <c r="G839" i="7"/>
  <c r="A839" i="7"/>
  <c r="F839" i="7"/>
  <c r="G838" i="7"/>
  <c r="A838" i="7"/>
  <c r="F838" i="7"/>
  <c r="G837" i="7"/>
  <c r="A837" i="7"/>
  <c r="F837" i="7"/>
  <c r="G836" i="7"/>
  <c r="A836" i="7"/>
  <c r="F836" i="7"/>
  <c r="G835" i="7"/>
  <c r="A835" i="7"/>
  <c r="F835" i="7"/>
  <c r="G834" i="7"/>
  <c r="A834" i="7"/>
  <c r="F834" i="7"/>
  <c r="G833" i="7"/>
  <c r="A833" i="7"/>
  <c r="F833" i="7"/>
  <c r="G832" i="7"/>
  <c r="A832" i="7"/>
  <c r="F832" i="7"/>
  <c r="G831" i="7"/>
  <c r="A831" i="7"/>
  <c r="F831" i="7"/>
  <c r="G830" i="7"/>
  <c r="A830" i="7"/>
  <c r="F830" i="7"/>
  <c r="G829" i="7"/>
  <c r="A829" i="7"/>
  <c r="F829" i="7"/>
  <c r="G828" i="7"/>
  <c r="A828" i="7"/>
  <c r="F828" i="7"/>
  <c r="G827" i="7"/>
  <c r="A827" i="7"/>
  <c r="F827" i="7"/>
  <c r="G826" i="7"/>
  <c r="A826" i="7"/>
  <c r="F826" i="7"/>
  <c r="G825" i="7"/>
  <c r="A825" i="7"/>
  <c r="F825" i="7"/>
  <c r="G824" i="7"/>
  <c r="A824" i="7"/>
  <c r="F824" i="7"/>
  <c r="G823" i="7"/>
  <c r="A823" i="7"/>
  <c r="F823" i="7"/>
  <c r="G822" i="7"/>
  <c r="A822" i="7"/>
  <c r="F822" i="7"/>
  <c r="G821" i="7"/>
  <c r="A821" i="7"/>
  <c r="F821" i="7"/>
  <c r="G820" i="7"/>
  <c r="A820" i="7"/>
  <c r="F820" i="7"/>
  <c r="G819" i="7"/>
  <c r="A819" i="7"/>
  <c r="F819" i="7"/>
  <c r="G818" i="7"/>
  <c r="A818" i="7"/>
  <c r="F818" i="7"/>
  <c r="G817" i="7"/>
  <c r="A817" i="7"/>
  <c r="F817" i="7"/>
  <c r="G816" i="7"/>
  <c r="A816" i="7"/>
  <c r="F816" i="7"/>
  <c r="G815" i="7"/>
  <c r="A815" i="7"/>
  <c r="F815" i="7"/>
  <c r="G814" i="7"/>
  <c r="A814" i="7"/>
  <c r="F814" i="7"/>
  <c r="G813" i="7"/>
  <c r="A813" i="7"/>
  <c r="F813" i="7"/>
  <c r="G812" i="7"/>
  <c r="A812" i="7"/>
  <c r="F812" i="7"/>
  <c r="G811" i="7"/>
  <c r="A811" i="7"/>
  <c r="F811" i="7"/>
  <c r="G810" i="7"/>
  <c r="A810" i="7"/>
  <c r="F810" i="7"/>
  <c r="G809" i="7"/>
  <c r="A809" i="7"/>
  <c r="F809" i="7"/>
  <c r="G808" i="7"/>
  <c r="A808" i="7"/>
  <c r="F808" i="7"/>
  <c r="G807" i="7"/>
  <c r="A807" i="7"/>
  <c r="F807" i="7"/>
  <c r="G806" i="7"/>
  <c r="A806" i="7"/>
  <c r="F806" i="7"/>
  <c r="G805" i="7"/>
  <c r="A805" i="7"/>
  <c r="F805" i="7"/>
  <c r="G804" i="7"/>
  <c r="A804" i="7"/>
  <c r="F804" i="7"/>
  <c r="G803" i="7"/>
  <c r="A803" i="7"/>
  <c r="F803" i="7"/>
  <c r="G802" i="7"/>
  <c r="A802" i="7"/>
  <c r="F802" i="7"/>
  <c r="G801" i="7"/>
  <c r="A801" i="7"/>
  <c r="F801" i="7"/>
  <c r="G800" i="7"/>
  <c r="A800" i="7"/>
  <c r="F800" i="7"/>
  <c r="G799" i="7"/>
  <c r="A799" i="7"/>
  <c r="F799" i="7"/>
  <c r="G798" i="7"/>
  <c r="A798" i="7"/>
  <c r="F798" i="7"/>
  <c r="G797" i="7"/>
  <c r="A797" i="7"/>
  <c r="F797" i="7"/>
  <c r="G796" i="7"/>
  <c r="A796" i="7"/>
  <c r="F796" i="7"/>
  <c r="G795" i="7"/>
  <c r="A795" i="7"/>
  <c r="F795" i="7"/>
  <c r="G794" i="7"/>
  <c r="A794" i="7"/>
  <c r="F794" i="7"/>
  <c r="G793" i="7"/>
  <c r="A793" i="7"/>
  <c r="F793" i="7"/>
  <c r="G792" i="7"/>
  <c r="A792" i="7"/>
  <c r="F792" i="7"/>
  <c r="G791" i="7"/>
  <c r="A791" i="7"/>
  <c r="F791" i="7"/>
  <c r="G790" i="7"/>
  <c r="A790" i="7"/>
  <c r="F790" i="7"/>
  <c r="G789" i="7"/>
  <c r="A789" i="7"/>
  <c r="F789" i="7"/>
  <c r="G788" i="7"/>
  <c r="A788" i="7"/>
  <c r="F788" i="7"/>
  <c r="G787" i="7"/>
  <c r="A787" i="7"/>
  <c r="F787" i="7"/>
  <c r="G786" i="7"/>
  <c r="A786" i="7"/>
  <c r="F786" i="7"/>
  <c r="G785" i="7"/>
  <c r="A785" i="7"/>
  <c r="F785" i="7"/>
  <c r="G784" i="7"/>
  <c r="A784" i="7"/>
  <c r="F784" i="7"/>
  <c r="G783" i="7"/>
  <c r="A783" i="7"/>
  <c r="F783" i="7"/>
  <c r="G782" i="7"/>
  <c r="A782" i="7"/>
  <c r="F782" i="7"/>
  <c r="G781" i="7"/>
  <c r="A781" i="7"/>
  <c r="F781" i="7"/>
  <c r="G780" i="7"/>
  <c r="A780" i="7"/>
  <c r="F780" i="7"/>
  <c r="G779" i="7"/>
  <c r="A779" i="7"/>
  <c r="F779" i="7"/>
  <c r="G778" i="7"/>
  <c r="A778" i="7"/>
  <c r="F778" i="7"/>
  <c r="G777" i="7"/>
  <c r="A777" i="7"/>
  <c r="F777" i="7"/>
  <c r="G776" i="7"/>
  <c r="A776" i="7"/>
  <c r="F776" i="7"/>
  <c r="G775" i="7"/>
  <c r="A775" i="7"/>
  <c r="F775" i="7"/>
  <c r="G774" i="7"/>
  <c r="A774" i="7"/>
  <c r="F774" i="7"/>
  <c r="G773" i="7"/>
  <c r="A773" i="7"/>
  <c r="F773" i="7"/>
  <c r="G772" i="7"/>
  <c r="A772" i="7"/>
  <c r="F772" i="7"/>
  <c r="G771" i="7"/>
  <c r="A771" i="7"/>
  <c r="F771" i="7"/>
  <c r="G770" i="7"/>
  <c r="A770" i="7"/>
  <c r="F770" i="7"/>
  <c r="G769" i="7"/>
  <c r="A769" i="7"/>
  <c r="F769" i="7"/>
  <c r="G768" i="7"/>
  <c r="A768" i="7"/>
  <c r="F768" i="7"/>
  <c r="G767" i="7"/>
  <c r="A767" i="7"/>
  <c r="F767" i="7"/>
  <c r="G766" i="7"/>
  <c r="A766" i="7"/>
  <c r="F766" i="7"/>
  <c r="G765" i="7"/>
  <c r="A765" i="7"/>
  <c r="F765" i="7"/>
  <c r="G764" i="7"/>
  <c r="A764" i="7"/>
  <c r="F764" i="7"/>
  <c r="G763" i="7"/>
  <c r="A763" i="7"/>
  <c r="F763" i="7"/>
  <c r="G762" i="7"/>
  <c r="A762" i="7"/>
  <c r="F762" i="7"/>
  <c r="G761" i="7"/>
  <c r="A761" i="7"/>
  <c r="F761" i="7"/>
  <c r="G760" i="7"/>
  <c r="A760" i="7"/>
  <c r="F760" i="7"/>
  <c r="G759" i="7"/>
  <c r="A759" i="7"/>
  <c r="F759" i="7"/>
  <c r="G758" i="7"/>
  <c r="A758" i="7"/>
  <c r="F758" i="7"/>
  <c r="G757" i="7"/>
  <c r="A757" i="7"/>
  <c r="F757" i="7"/>
  <c r="G756" i="7"/>
  <c r="A756" i="7"/>
  <c r="F756" i="7"/>
  <c r="G755" i="7"/>
  <c r="A755" i="7"/>
  <c r="F755" i="7"/>
  <c r="G754" i="7"/>
  <c r="A754" i="7"/>
  <c r="F754" i="7"/>
  <c r="G753" i="7"/>
  <c r="A753" i="7"/>
  <c r="F753" i="7"/>
  <c r="G752" i="7"/>
  <c r="A752" i="7"/>
  <c r="F752" i="7"/>
  <c r="G751" i="7"/>
  <c r="A751" i="7"/>
  <c r="F751" i="7"/>
  <c r="G750" i="7"/>
  <c r="A750" i="7"/>
  <c r="F750" i="7"/>
  <c r="G749" i="7"/>
  <c r="A749" i="7"/>
  <c r="F749" i="7"/>
  <c r="G748" i="7"/>
  <c r="A748" i="7"/>
  <c r="F748" i="7"/>
  <c r="G747" i="7"/>
  <c r="A747" i="7"/>
  <c r="F747" i="7"/>
  <c r="G746" i="7"/>
  <c r="A746" i="7"/>
  <c r="F746" i="7"/>
  <c r="G745" i="7"/>
  <c r="A745" i="7"/>
  <c r="F745" i="7"/>
  <c r="G744" i="7"/>
  <c r="A744" i="7"/>
  <c r="F744" i="7"/>
  <c r="G743" i="7"/>
  <c r="A743" i="7"/>
  <c r="F743" i="7"/>
  <c r="G742" i="7"/>
  <c r="A742" i="7"/>
  <c r="F742" i="7"/>
  <c r="G741" i="7"/>
  <c r="A741" i="7"/>
  <c r="F741" i="7"/>
  <c r="G740" i="7"/>
  <c r="A740" i="7"/>
  <c r="F740" i="7"/>
  <c r="G739" i="7"/>
  <c r="A739" i="7"/>
  <c r="F739" i="7"/>
  <c r="G738" i="7"/>
  <c r="A738" i="7"/>
  <c r="F738" i="7"/>
  <c r="G737" i="7"/>
  <c r="A737" i="7"/>
  <c r="F737" i="7"/>
  <c r="G736" i="7"/>
  <c r="A736" i="7"/>
  <c r="F736" i="7"/>
  <c r="G735" i="7"/>
  <c r="A735" i="7"/>
  <c r="F735" i="7"/>
  <c r="G734" i="7"/>
  <c r="A734" i="7"/>
  <c r="F734" i="7"/>
  <c r="G733" i="7"/>
  <c r="A733" i="7"/>
  <c r="F733" i="7"/>
  <c r="G732" i="7"/>
  <c r="A732" i="7"/>
  <c r="F732" i="7"/>
  <c r="G731" i="7"/>
  <c r="A731" i="7"/>
  <c r="F731" i="7"/>
  <c r="G730" i="7"/>
  <c r="A730" i="7"/>
  <c r="F730" i="7"/>
  <c r="G729" i="7"/>
  <c r="A729" i="7"/>
  <c r="F729" i="7"/>
  <c r="G728" i="7"/>
  <c r="A728" i="7"/>
  <c r="F728" i="7"/>
  <c r="G727" i="7"/>
  <c r="A727" i="7"/>
  <c r="F727" i="7"/>
  <c r="G726" i="7"/>
  <c r="A726" i="7"/>
  <c r="F726" i="7"/>
  <c r="G725" i="7"/>
  <c r="A725" i="7"/>
  <c r="F725" i="7"/>
  <c r="G724" i="7"/>
  <c r="A724" i="7"/>
  <c r="F724" i="7"/>
  <c r="G723" i="7"/>
  <c r="A723" i="7"/>
  <c r="F723" i="7"/>
  <c r="G722" i="7"/>
  <c r="A722" i="7"/>
  <c r="F722" i="7"/>
  <c r="G721" i="7"/>
  <c r="A721" i="7"/>
  <c r="F721" i="7"/>
  <c r="G720" i="7"/>
  <c r="A720" i="7"/>
  <c r="F720" i="7"/>
  <c r="G719" i="7"/>
  <c r="A719" i="7"/>
  <c r="F719" i="7"/>
  <c r="G718" i="7"/>
  <c r="A718" i="7"/>
  <c r="F718" i="7"/>
  <c r="G717" i="7"/>
  <c r="A717" i="7"/>
  <c r="F717" i="7"/>
  <c r="G716" i="7"/>
  <c r="A716" i="7"/>
  <c r="F716" i="7"/>
  <c r="G715" i="7"/>
  <c r="A715" i="7"/>
  <c r="F715" i="7"/>
  <c r="G714" i="7"/>
  <c r="A714" i="7"/>
  <c r="F714" i="7"/>
  <c r="G713" i="7"/>
  <c r="A713" i="7"/>
  <c r="F713" i="7"/>
  <c r="G712" i="7"/>
  <c r="A712" i="7"/>
  <c r="F712" i="7"/>
  <c r="G711" i="7"/>
  <c r="A711" i="7"/>
  <c r="F711" i="7"/>
  <c r="G710" i="7"/>
  <c r="A710" i="7"/>
  <c r="F710" i="7"/>
  <c r="G709" i="7"/>
  <c r="A709" i="7"/>
  <c r="F709" i="7"/>
  <c r="G708" i="7"/>
  <c r="A708" i="7"/>
  <c r="F708" i="7"/>
  <c r="G707" i="7"/>
  <c r="A707" i="7"/>
  <c r="F707" i="7"/>
  <c r="G706" i="7"/>
  <c r="A706" i="7"/>
  <c r="F706" i="7"/>
  <c r="G705" i="7"/>
  <c r="A705" i="7"/>
  <c r="F705" i="7"/>
  <c r="G704" i="7"/>
  <c r="A704" i="7"/>
  <c r="F704" i="7"/>
  <c r="G703" i="7"/>
  <c r="A703" i="7"/>
  <c r="F703" i="7"/>
  <c r="G702" i="7"/>
  <c r="A702" i="7"/>
  <c r="F702" i="7"/>
  <c r="G701" i="7"/>
  <c r="A701" i="7"/>
  <c r="F701" i="7"/>
  <c r="G700" i="7"/>
  <c r="A700" i="7"/>
  <c r="F700" i="7"/>
  <c r="G699" i="7"/>
  <c r="A699" i="7"/>
  <c r="F699" i="7"/>
  <c r="G698" i="7"/>
  <c r="A698" i="7"/>
  <c r="F698" i="7"/>
  <c r="G697" i="7"/>
  <c r="A697" i="7"/>
  <c r="F697" i="7"/>
  <c r="G696" i="7"/>
  <c r="A696" i="7"/>
  <c r="F696" i="7"/>
  <c r="G695" i="7"/>
  <c r="A695" i="7"/>
  <c r="F695" i="7"/>
  <c r="G694" i="7"/>
  <c r="A694" i="7"/>
  <c r="F694" i="7"/>
  <c r="G693" i="7"/>
  <c r="A693" i="7"/>
  <c r="F693" i="7"/>
  <c r="G692" i="7"/>
  <c r="A692" i="7"/>
  <c r="F692" i="7"/>
  <c r="G691" i="7"/>
  <c r="A691" i="7"/>
  <c r="F691" i="7"/>
  <c r="G690" i="7"/>
  <c r="A690" i="7"/>
  <c r="F690" i="7"/>
  <c r="G689" i="7"/>
  <c r="A689" i="7"/>
  <c r="F689" i="7"/>
  <c r="G688" i="7"/>
  <c r="A688" i="7"/>
  <c r="F688" i="7"/>
  <c r="G687" i="7"/>
  <c r="A687" i="7"/>
  <c r="F687" i="7"/>
  <c r="G686" i="7"/>
  <c r="A686" i="7"/>
  <c r="F686" i="7"/>
  <c r="G685" i="7"/>
  <c r="A685" i="7"/>
  <c r="F685" i="7"/>
  <c r="G684" i="7"/>
  <c r="A684" i="7"/>
  <c r="F684" i="7"/>
  <c r="G683" i="7"/>
  <c r="A683" i="7"/>
  <c r="F683" i="7"/>
  <c r="G682" i="7"/>
  <c r="A682" i="7"/>
  <c r="F682" i="7"/>
  <c r="G681" i="7"/>
  <c r="A681" i="7"/>
  <c r="F681" i="7"/>
  <c r="G680" i="7"/>
  <c r="A680" i="7"/>
  <c r="F680" i="7"/>
  <c r="G679" i="7"/>
  <c r="A679" i="7"/>
  <c r="F679" i="7"/>
  <c r="G678" i="7"/>
  <c r="A678" i="7"/>
  <c r="F678" i="7"/>
  <c r="G677" i="7"/>
  <c r="A677" i="7"/>
  <c r="F677" i="7"/>
  <c r="G676" i="7"/>
  <c r="A676" i="7"/>
  <c r="F676" i="7"/>
  <c r="G675" i="7"/>
  <c r="A675" i="7"/>
  <c r="F675" i="7"/>
  <c r="G674" i="7"/>
  <c r="A674" i="7"/>
  <c r="F674" i="7"/>
  <c r="G673" i="7"/>
  <c r="A673" i="7"/>
  <c r="F673" i="7"/>
  <c r="G672" i="7"/>
  <c r="A672" i="7"/>
  <c r="F672" i="7"/>
  <c r="G671" i="7"/>
  <c r="A671" i="7"/>
  <c r="F671" i="7"/>
  <c r="G670" i="7"/>
  <c r="A670" i="7"/>
  <c r="F670" i="7"/>
  <c r="G669" i="7"/>
  <c r="A669" i="7"/>
  <c r="F669" i="7"/>
  <c r="G668" i="7"/>
  <c r="A668" i="7"/>
  <c r="F668" i="7"/>
  <c r="G667" i="7"/>
  <c r="A667" i="7"/>
  <c r="F667" i="7"/>
  <c r="G666" i="7"/>
  <c r="A666" i="7"/>
  <c r="F666" i="7"/>
  <c r="G665" i="7"/>
  <c r="A665" i="7"/>
  <c r="F665" i="7"/>
  <c r="G664" i="7"/>
  <c r="A664" i="7"/>
  <c r="F664" i="7"/>
  <c r="G663" i="7"/>
  <c r="A663" i="7"/>
  <c r="F663" i="7"/>
  <c r="G662" i="7"/>
  <c r="A662" i="7"/>
  <c r="F662" i="7"/>
  <c r="G661" i="7"/>
  <c r="A661" i="7"/>
  <c r="F661" i="7"/>
  <c r="G660" i="7"/>
  <c r="A660" i="7"/>
  <c r="F660" i="7"/>
  <c r="G659" i="7"/>
  <c r="A659" i="7"/>
  <c r="F659" i="7"/>
  <c r="G658" i="7"/>
  <c r="A658" i="7"/>
  <c r="F658" i="7"/>
  <c r="G657" i="7"/>
  <c r="A657" i="7"/>
  <c r="F657" i="7"/>
  <c r="G656" i="7"/>
  <c r="A656" i="7"/>
  <c r="F656" i="7"/>
  <c r="G655" i="7"/>
  <c r="A655" i="7"/>
  <c r="F655" i="7"/>
  <c r="G654" i="7"/>
  <c r="A654" i="7"/>
  <c r="F654" i="7"/>
  <c r="G653" i="7"/>
  <c r="A653" i="7"/>
  <c r="F653" i="7"/>
  <c r="G652" i="7"/>
  <c r="A652" i="7"/>
  <c r="F652" i="7"/>
  <c r="G651" i="7"/>
  <c r="A651" i="7"/>
  <c r="F651" i="7"/>
  <c r="G650" i="7"/>
  <c r="A650" i="7"/>
  <c r="F650" i="7"/>
  <c r="G649" i="7"/>
  <c r="A649" i="7"/>
  <c r="F649" i="7"/>
  <c r="G648" i="7"/>
  <c r="A648" i="7"/>
  <c r="F648" i="7"/>
  <c r="G647" i="7"/>
  <c r="A647" i="7"/>
  <c r="F647" i="7"/>
  <c r="G646" i="7"/>
  <c r="A646" i="7"/>
  <c r="F646" i="7"/>
  <c r="G645" i="7"/>
  <c r="A645" i="7"/>
  <c r="F645" i="7"/>
  <c r="G644" i="7"/>
  <c r="A644" i="7"/>
  <c r="F644" i="7"/>
  <c r="G643" i="7"/>
  <c r="A643" i="7"/>
  <c r="F643" i="7"/>
  <c r="G642" i="7"/>
  <c r="A642" i="7"/>
  <c r="F642" i="7"/>
  <c r="G641" i="7"/>
  <c r="A641" i="7"/>
  <c r="F641" i="7"/>
  <c r="G640" i="7"/>
  <c r="A640" i="7"/>
  <c r="F640" i="7"/>
  <c r="G639" i="7"/>
  <c r="A639" i="7"/>
  <c r="F639" i="7"/>
  <c r="G638" i="7"/>
  <c r="A638" i="7"/>
  <c r="F638" i="7"/>
  <c r="G637" i="7"/>
  <c r="A637" i="7"/>
  <c r="F637" i="7"/>
  <c r="G636" i="7"/>
  <c r="A636" i="7"/>
  <c r="F636" i="7"/>
  <c r="G635" i="7"/>
  <c r="A635" i="7"/>
  <c r="F635" i="7"/>
  <c r="G634" i="7"/>
  <c r="A634" i="7"/>
  <c r="F634" i="7"/>
  <c r="G633" i="7"/>
  <c r="A633" i="7"/>
  <c r="F633" i="7"/>
  <c r="G632" i="7"/>
  <c r="A632" i="7"/>
  <c r="F632" i="7"/>
  <c r="G631" i="7"/>
  <c r="A631" i="7"/>
  <c r="F631" i="7"/>
  <c r="G630" i="7"/>
  <c r="A630" i="7"/>
  <c r="F630" i="7"/>
  <c r="G629" i="7"/>
  <c r="A629" i="7"/>
  <c r="F629" i="7"/>
  <c r="G628" i="7"/>
  <c r="A628" i="7"/>
  <c r="F628" i="7"/>
  <c r="G627" i="7"/>
  <c r="A627" i="7"/>
  <c r="F627" i="7"/>
  <c r="G626" i="7"/>
  <c r="A626" i="7"/>
  <c r="F626" i="7"/>
  <c r="G625" i="7"/>
  <c r="A625" i="7"/>
  <c r="F625" i="7"/>
  <c r="G624" i="7"/>
  <c r="A624" i="7"/>
  <c r="F624" i="7"/>
  <c r="G623" i="7"/>
  <c r="A623" i="7"/>
  <c r="F623" i="7"/>
  <c r="G622" i="7"/>
  <c r="A622" i="7"/>
  <c r="F622" i="7"/>
  <c r="G621" i="7"/>
  <c r="A621" i="7"/>
  <c r="F621" i="7"/>
  <c r="G620" i="7"/>
  <c r="A620" i="7"/>
  <c r="F620" i="7"/>
  <c r="G619" i="7"/>
  <c r="A619" i="7"/>
  <c r="F619" i="7"/>
  <c r="G618" i="7"/>
  <c r="A618" i="7"/>
  <c r="F618" i="7"/>
  <c r="G617" i="7"/>
  <c r="A617" i="7"/>
  <c r="F617" i="7"/>
  <c r="G616" i="7"/>
  <c r="A616" i="7"/>
  <c r="F616" i="7"/>
  <c r="G615" i="7"/>
  <c r="A615" i="7"/>
  <c r="F615" i="7"/>
  <c r="G614" i="7"/>
  <c r="A614" i="7"/>
  <c r="F614" i="7"/>
  <c r="G613" i="7"/>
  <c r="A613" i="7"/>
  <c r="F613" i="7"/>
  <c r="G612" i="7"/>
  <c r="A612" i="7"/>
  <c r="F612" i="7"/>
  <c r="G611" i="7"/>
  <c r="A611" i="7"/>
  <c r="F611" i="7"/>
  <c r="G610" i="7"/>
  <c r="A610" i="7"/>
  <c r="F610" i="7"/>
  <c r="G609" i="7"/>
  <c r="A609" i="7"/>
  <c r="F609" i="7"/>
  <c r="G608" i="7"/>
  <c r="A608" i="7"/>
  <c r="F608" i="7"/>
  <c r="G607" i="7"/>
  <c r="A607" i="7"/>
  <c r="F607" i="7"/>
  <c r="G606" i="7"/>
  <c r="A606" i="7"/>
  <c r="F606" i="7"/>
  <c r="G605" i="7"/>
  <c r="A605" i="7"/>
  <c r="F605" i="7"/>
  <c r="G604" i="7"/>
  <c r="A604" i="7"/>
  <c r="F604" i="7"/>
  <c r="G603" i="7"/>
  <c r="A603" i="7"/>
  <c r="F603" i="7"/>
  <c r="G602" i="7"/>
  <c r="A602" i="7"/>
  <c r="F602" i="7"/>
  <c r="G601" i="7"/>
  <c r="A601" i="7"/>
  <c r="F601" i="7"/>
  <c r="G600" i="7"/>
  <c r="A600" i="7"/>
  <c r="F600" i="7"/>
  <c r="G599" i="7"/>
  <c r="A599" i="7"/>
  <c r="F599" i="7"/>
  <c r="G598" i="7"/>
  <c r="A598" i="7"/>
  <c r="F598" i="7"/>
  <c r="G597" i="7"/>
  <c r="A597" i="7"/>
  <c r="F597" i="7"/>
  <c r="G596" i="7"/>
  <c r="A596" i="7"/>
  <c r="F596" i="7"/>
  <c r="G595" i="7"/>
  <c r="A595" i="7"/>
  <c r="F595" i="7"/>
  <c r="G594" i="7"/>
  <c r="A594" i="7"/>
  <c r="F594" i="7"/>
  <c r="G593" i="7"/>
  <c r="A593" i="7"/>
  <c r="F593" i="7"/>
  <c r="G592" i="7"/>
  <c r="A592" i="7"/>
  <c r="F592" i="7"/>
  <c r="G591" i="7"/>
  <c r="A591" i="7"/>
  <c r="F591" i="7"/>
  <c r="G590" i="7"/>
  <c r="A590" i="7"/>
  <c r="F590" i="7"/>
  <c r="G589" i="7"/>
  <c r="A589" i="7"/>
  <c r="F589" i="7"/>
  <c r="G588" i="7"/>
  <c r="A588" i="7"/>
  <c r="F588" i="7"/>
  <c r="G587" i="7"/>
  <c r="A587" i="7"/>
  <c r="F587" i="7"/>
  <c r="G586" i="7"/>
  <c r="A586" i="7"/>
  <c r="F586" i="7"/>
  <c r="G585" i="7"/>
  <c r="A585" i="7"/>
  <c r="F585" i="7"/>
  <c r="G584" i="7"/>
  <c r="A584" i="7"/>
  <c r="F584" i="7"/>
  <c r="G583" i="7"/>
  <c r="A583" i="7"/>
  <c r="F583" i="7"/>
  <c r="G582" i="7"/>
  <c r="A582" i="7"/>
  <c r="F582" i="7"/>
  <c r="G581" i="7"/>
  <c r="A581" i="7"/>
  <c r="F581" i="7"/>
  <c r="G580" i="7"/>
  <c r="A580" i="7"/>
  <c r="F580" i="7"/>
  <c r="G579" i="7"/>
  <c r="A579" i="7"/>
  <c r="F579" i="7"/>
  <c r="G578" i="7"/>
  <c r="A578" i="7"/>
  <c r="F578" i="7"/>
  <c r="G577" i="7"/>
  <c r="A577" i="7"/>
  <c r="F577" i="7"/>
  <c r="G576" i="7"/>
  <c r="A576" i="7"/>
  <c r="F576" i="7"/>
  <c r="G575" i="7"/>
  <c r="A575" i="7"/>
  <c r="F575" i="7"/>
  <c r="G574" i="7"/>
  <c r="A574" i="7"/>
  <c r="F574" i="7"/>
  <c r="G573" i="7"/>
  <c r="A573" i="7"/>
  <c r="F573" i="7"/>
  <c r="G572" i="7"/>
  <c r="A572" i="7"/>
  <c r="F572" i="7"/>
  <c r="G571" i="7"/>
  <c r="A571" i="7"/>
  <c r="F571" i="7"/>
  <c r="G570" i="7"/>
  <c r="A570" i="7"/>
  <c r="F570" i="7"/>
  <c r="G569" i="7"/>
  <c r="A569" i="7"/>
  <c r="F569" i="7"/>
  <c r="G568" i="7"/>
  <c r="A568" i="7"/>
  <c r="F568" i="7"/>
  <c r="G567" i="7"/>
  <c r="A567" i="7"/>
  <c r="F567" i="7"/>
  <c r="G566" i="7"/>
  <c r="A566" i="7"/>
  <c r="F566" i="7"/>
  <c r="G565" i="7"/>
  <c r="A565" i="7"/>
  <c r="F565" i="7"/>
  <c r="G564" i="7"/>
  <c r="A564" i="7"/>
  <c r="F564" i="7"/>
  <c r="G563" i="7"/>
  <c r="A563" i="7"/>
  <c r="F563" i="7"/>
  <c r="G562" i="7"/>
  <c r="A562" i="7"/>
  <c r="F562" i="7"/>
  <c r="G561" i="7"/>
  <c r="A561" i="7"/>
  <c r="F561" i="7"/>
  <c r="G560" i="7"/>
  <c r="A560" i="7"/>
  <c r="F560" i="7"/>
  <c r="G559" i="7"/>
  <c r="A559" i="7"/>
  <c r="F559" i="7"/>
  <c r="G558" i="7"/>
  <c r="A558" i="7"/>
  <c r="F558" i="7"/>
  <c r="G557" i="7"/>
  <c r="A557" i="7"/>
  <c r="F557" i="7"/>
  <c r="G556" i="7"/>
  <c r="A556" i="7"/>
  <c r="F556" i="7"/>
  <c r="G555" i="7"/>
  <c r="A555" i="7"/>
  <c r="F555" i="7"/>
  <c r="G554" i="7"/>
  <c r="A554" i="7"/>
  <c r="F554" i="7"/>
  <c r="G553" i="7"/>
  <c r="A553" i="7"/>
  <c r="F553" i="7"/>
  <c r="G552" i="7"/>
  <c r="A552" i="7"/>
  <c r="F552" i="7"/>
  <c r="G551" i="7"/>
  <c r="A551" i="7"/>
  <c r="F551" i="7"/>
  <c r="G550" i="7"/>
  <c r="A550" i="7"/>
  <c r="F550" i="7"/>
  <c r="G549" i="7"/>
  <c r="A549" i="7"/>
  <c r="F549" i="7"/>
  <c r="G548" i="7"/>
  <c r="A548" i="7"/>
  <c r="F548" i="7"/>
  <c r="G547" i="7"/>
  <c r="A547" i="7"/>
  <c r="F547" i="7"/>
  <c r="G546" i="7"/>
  <c r="A546" i="7"/>
  <c r="F546" i="7"/>
  <c r="G545" i="7"/>
  <c r="A545" i="7"/>
  <c r="F545" i="7"/>
  <c r="G544" i="7"/>
  <c r="A544" i="7"/>
  <c r="F544" i="7"/>
  <c r="G543" i="7"/>
  <c r="A543" i="7"/>
  <c r="F543" i="7"/>
  <c r="G542" i="7"/>
  <c r="A542" i="7"/>
  <c r="F542" i="7"/>
  <c r="G541" i="7"/>
  <c r="A541" i="7"/>
  <c r="F541" i="7"/>
  <c r="G540" i="7"/>
  <c r="A540" i="7"/>
  <c r="F540" i="7"/>
  <c r="G539" i="7"/>
  <c r="A539" i="7"/>
  <c r="F539" i="7"/>
  <c r="G538" i="7"/>
  <c r="A538" i="7"/>
  <c r="F538" i="7"/>
  <c r="G537" i="7"/>
  <c r="A537" i="7"/>
  <c r="F537" i="7"/>
  <c r="G536" i="7"/>
  <c r="A536" i="7"/>
  <c r="F536" i="7"/>
  <c r="G535" i="7"/>
  <c r="A535" i="7"/>
  <c r="F535" i="7"/>
  <c r="G534" i="7"/>
  <c r="A534" i="7"/>
  <c r="F534" i="7"/>
  <c r="G533" i="7"/>
  <c r="A533" i="7"/>
  <c r="F533" i="7"/>
  <c r="G532" i="7"/>
  <c r="A532" i="7"/>
  <c r="F532" i="7"/>
  <c r="G531" i="7"/>
  <c r="A531" i="7"/>
  <c r="F531" i="7"/>
  <c r="G530" i="7"/>
  <c r="A530" i="7"/>
  <c r="F530" i="7"/>
  <c r="G529" i="7"/>
  <c r="A529" i="7"/>
  <c r="F529" i="7"/>
  <c r="G528" i="7"/>
  <c r="A528" i="7"/>
  <c r="F528" i="7"/>
  <c r="G527" i="7"/>
  <c r="A527" i="7"/>
  <c r="F527" i="7"/>
  <c r="G526" i="7"/>
  <c r="A526" i="7"/>
  <c r="F526" i="7"/>
  <c r="G525" i="7"/>
  <c r="A525" i="7"/>
  <c r="F525" i="7"/>
  <c r="G524" i="7"/>
  <c r="A524" i="7"/>
  <c r="F524" i="7"/>
  <c r="G523" i="7"/>
  <c r="A523" i="7"/>
  <c r="F523" i="7"/>
  <c r="G522" i="7"/>
  <c r="A522" i="7"/>
  <c r="F522" i="7"/>
  <c r="G521" i="7"/>
  <c r="A521" i="7"/>
  <c r="F521" i="7"/>
  <c r="G520" i="7"/>
  <c r="A520" i="7"/>
  <c r="F520" i="7"/>
  <c r="G519" i="7"/>
  <c r="A519" i="7"/>
  <c r="F519" i="7"/>
  <c r="G518" i="7"/>
  <c r="A518" i="7"/>
  <c r="F518" i="7"/>
  <c r="G517" i="7"/>
  <c r="A517" i="7"/>
  <c r="F517" i="7"/>
  <c r="G516" i="7"/>
  <c r="A516" i="7"/>
  <c r="F516" i="7"/>
  <c r="G515" i="7"/>
  <c r="A515" i="7"/>
  <c r="F515" i="7"/>
  <c r="G514" i="7"/>
  <c r="A514" i="7"/>
  <c r="F514" i="7"/>
  <c r="G513" i="7"/>
  <c r="A513" i="7"/>
  <c r="F513" i="7"/>
  <c r="G512" i="7"/>
  <c r="A512" i="7"/>
  <c r="F512" i="7"/>
  <c r="G511" i="7"/>
  <c r="A511" i="7"/>
  <c r="F511" i="7"/>
  <c r="G510" i="7"/>
  <c r="A510" i="7"/>
  <c r="F510" i="7"/>
  <c r="G509" i="7"/>
  <c r="A509" i="7"/>
  <c r="F509" i="7"/>
  <c r="G508" i="7"/>
  <c r="A508" i="7"/>
  <c r="F508" i="7"/>
  <c r="G507" i="7"/>
  <c r="A507" i="7"/>
  <c r="F507" i="7"/>
  <c r="G506" i="7"/>
  <c r="A506" i="7"/>
  <c r="F506" i="7"/>
  <c r="G505" i="7"/>
  <c r="A505" i="7"/>
  <c r="F505" i="7"/>
  <c r="G504" i="7"/>
  <c r="A504" i="7"/>
  <c r="F504" i="7"/>
  <c r="G503" i="7"/>
  <c r="A503" i="7"/>
  <c r="F503" i="7"/>
  <c r="G502" i="7"/>
  <c r="A502" i="7"/>
  <c r="F502" i="7"/>
  <c r="G501" i="7"/>
  <c r="A501" i="7"/>
  <c r="F501" i="7"/>
  <c r="G500" i="7"/>
  <c r="A500" i="7"/>
  <c r="F500" i="7"/>
  <c r="G499" i="7"/>
  <c r="A499" i="7"/>
  <c r="F499" i="7"/>
  <c r="G498" i="7"/>
  <c r="A498" i="7"/>
  <c r="F498" i="7"/>
  <c r="G497" i="7"/>
  <c r="A497" i="7"/>
  <c r="F497" i="7"/>
  <c r="G496" i="7"/>
  <c r="A496" i="7"/>
  <c r="F496" i="7"/>
  <c r="G495" i="7"/>
  <c r="A495" i="7"/>
  <c r="F495" i="7"/>
  <c r="G494" i="7"/>
  <c r="A494" i="7"/>
  <c r="F494" i="7"/>
  <c r="G493" i="7"/>
  <c r="A493" i="7"/>
  <c r="F493" i="7"/>
  <c r="G492" i="7"/>
  <c r="A492" i="7"/>
  <c r="F492" i="7"/>
  <c r="G491" i="7"/>
  <c r="A491" i="7"/>
  <c r="F491" i="7"/>
  <c r="G490" i="7"/>
  <c r="A490" i="7"/>
  <c r="F490" i="7"/>
  <c r="G489" i="7"/>
  <c r="A489" i="7"/>
  <c r="F489" i="7"/>
  <c r="G488" i="7"/>
  <c r="A488" i="7"/>
  <c r="F488" i="7"/>
  <c r="G487" i="7"/>
  <c r="A487" i="7"/>
  <c r="F487" i="7"/>
  <c r="G486" i="7"/>
  <c r="A486" i="7"/>
  <c r="F486" i="7"/>
  <c r="G485" i="7"/>
  <c r="A485" i="7"/>
  <c r="F485" i="7"/>
  <c r="G484" i="7"/>
  <c r="A484" i="7"/>
  <c r="F484" i="7"/>
  <c r="G483" i="7"/>
  <c r="A483" i="7"/>
  <c r="F483" i="7"/>
  <c r="G482" i="7"/>
  <c r="A482" i="7"/>
  <c r="F482" i="7"/>
  <c r="G481" i="7"/>
  <c r="A481" i="7"/>
  <c r="F481" i="7"/>
  <c r="G480" i="7"/>
  <c r="A480" i="7"/>
  <c r="F480" i="7"/>
  <c r="G479" i="7"/>
  <c r="A479" i="7"/>
  <c r="F479" i="7"/>
  <c r="G478" i="7"/>
  <c r="A478" i="7"/>
  <c r="F478" i="7"/>
  <c r="G477" i="7"/>
  <c r="A477" i="7"/>
  <c r="F477" i="7"/>
  <c r="G476" i="7"/>
  <c r="A476" i="7"/>
  <c r="F476" i="7"/>
  <c r="G475" i="7"/>
  <c r="A475" i="7"/>
  <c r="F475" i="7"/>
  <c r="G474" i="7"/>
  <c r="A474" i="7"/>
  <c r="F474" i="7"/>
  <c r="G473" i="7"/>
  <c r="A473" i="7"/>
  <c r="F473" i="7"/>
  <c r="G472" i="7"/>
  <c r="A472" i="7"/>
  <c r="F472" i="7"/>
  <c r="G471" i="7"/>
  <c r="A471" i="7"/>
  <c r="F471" i="7"/>
  <c r="G470" i="7"/>
  <c r="A470" i="7"/>
  <c r="F470" i="7"/>
  <c r="G469" i="7"/>
  <c r="A469" i="7"/>
  <c r="F469" i="7"/>
  <c r="G468" i="7"/>
  <c r="A468" i="7"/>
  <c r="F468" i="7"/>
  <c r="G467" i="7"/>
  <c r="A467" i="7"/>
  <c r="F467" i="7"/>
  <c r="G466" i="7"/>
  <c r="A466" i="7"/>
  <c r="F466" i="7"/>
  <c r="G465" i="7"/>
  <c r="A465" i="7"/>
  <c r="F465" i="7"/>
  <c r="G464" i="7"/>
  <c r="A464" i="7"/>
  <c r="F464" i="7"/>
  <c r="G463" i="7"/>
  <c r="A463" i="7"/>
  <c r="F463" i="7"/>
  <c r="G462" i="7"/>
  <c r="A462" i="7"/>
  <c r="F462" i="7"/>
  <c r="G461" i="7"/>
  <c r="A461" i="7"/>
  <c r="F461" i="7"/>
  <c r="G460" i="7"/>
  <c r="A460" i="7"/>
  <c r="F460" i="7"/>
  <c r="G459" i="7"/>
  <c r="A459" i="7"/>
  <c r="F459" i="7"/>
  <c r="G458" i="7"/>
  <c r="A458" i="7"/>
  <c r="F458" i="7"/>
  <c r="G457" i="7"/>
  <c r="A457" i="7"/>
  <c r="F457" i="7"/>
  <c r="G456" i="7"/>
  <c r="A456" i="7"/>
  <c r="F456" i="7"/>
  <c r="G455" i="7"/>
  <c r="A455" i="7"/>
  <c r="F455" i="7"/>
  <c r="G454" i="7"/>
  <c r="A454" i="7"/>
  <c r="F454" i="7"/>
  <c r="G453" i="7"/>
  <c r="A453" i="7"/>
  <c r="F453" i="7"/>
  <c r="G452" i="7"/>
  <c r="A452" i="7"/>
  <c r="F452" i="7"/>
  <c r="G451" i="7"/>
  <c r="A451" i="7"/>
  <c r="F451" i="7"/>
  <c r="G450" i="7"/>
  <c r="A450" i="7"/>
  <c r="F450" i="7"/>
  <c r="G449" i="7"/>
  <c r="A449" i="7"/>
  <c r="F449" i="7"/>
  <c r="G448" i="7"/>
  <c r="A448" i="7"/>
  <c r="F448" i="7"/>
  <c r="G447" i="7"/>
  <c r="A447" i="7"/>
  <c r="F447" i="7"/>
  <c r="G446" i="7"/>
  <c r="A446" i="7"/>
  <c r="F446" i="7"/>
  <c r="G445" i="7"/>
  <c r="A445" i="7"/>
  <c r="F445" i="7"/>
  <c r="G444" i="7"/>
  <c r="A444" i="7"/>
  <c r="F444" i="7"/>
  <c r="G443" i="7"/>
  <c r="A443" i="7"/>
  <c r="F443" i="7"/>
  <c r="G442" i="7"/>
  <c r="A442" i="7"/>
  <c r="F442" i="7"/>
  <c r="G441" i="7"/>
  <c r="A441" i="7"/>
  <c r="F441" i="7"/>
  <c r="G440" i="7"/>
  <c r="A440" i="7"/>
  <c r="F440" i="7"/>
  <c r="G439" i="7"/>
  <c r="A439" i="7"/>
  <c r="F439" i="7"/>
  <c r="G438" i="7"/>
  <c r="A438" i="7"/>
  <c r="F438" i="7"/>
  <c r="G437" i="7"/>
  <c r="A437" i="7"/>
  <c r="F437" i="7"/>
  <c r="G436" i="7"/>
  <c r="A436" i="7"/>
  <c r="F436" i="7"/>
  <c r="G435" i="7"/>
  <c r="A435" i="7"/>
  <c r="F435" i="7"/>
  <c r="G434" i="7"/>
  <c r="A434" i="7"/>
  <c r="F434" i="7"/>
  <c r="G433" i="7"/>
  <c r="A433" i="7"/>
  <c r="F433" i="7"/>
  <c r="G432" i="7"/>
  <c r="A432" i="7"/>
  <c r="F432" i="7"/>
  <c r="G431" i="7"/>
  <c r="A431" i="7"/>
  <c r="F431" i="7"/>
  <c r="G430" i="7"/>
  <c r="A430" i="7"/>
  <c r="F430" i="7"/>
  <c r="G429" i="7"/>
  <c r="A429" i="7"/>
  <c r="F429" i="7"/>
  <c r="G428" i="7"/>
  <c r="A428" i="7"/>
  <c r="F428" i="7"/>
  <c r="G427" i="7"/>
  <c r="A427" i="7"/>
  <c r="F427" i="7"/>
  <c r="G426" i="7"/>
  <c r="A426" i="7"/>
  <c r="F426" i="7"/>
  <c r="G425" i="7"/>
  <c r="A425" i="7"/>
  <c r="F425" i="7"/>
  <c r="G424" i="7"/>
  <c r="A424" i="7"/>
  <c r="F424" i="7"/>
  <c r="G423" i="7"/>
  <c r="A423" i="7"/>
  <c r="F423" i="7"/>
  <c r="G422" i="7"/>
  <c r="A422" i="7"/>
  <c r="F422" i="7"/>
  <c r="G421" i="7"/>
  <c r="A421" i="7"/>
  <c r="F421" i="7"/>
  <c r="G420" i="7"/>
  <c r="A420" i="7"/>
  <c r="F420" i="7"/>
  <c r="G419" i="7"/>
  <c r="A419" i="7"/>
  <c r="F419" i="7"/>
  <c r="G418" i="7"/>
  <c r="A418" i="7"/>
  <c r="F418" i="7"/>
  <c r="G417" i="7"/>
  <c r="A417" i="7"/>
  <c r="F417" i="7"/>
  <c r="G416" i="7"/>
  <c r="A416" i="7"/>
  <c r="F416" i="7"/>
  <c r="G415" i="7"/>
  <c r="A415" i="7"/>
  <c r="F415" i="7"/>
  <c r="G414" i="7"/>
  <c r="A414" i="7"/>
  <c r="F414" i="7"/>
  <c r="G413" i="7"/>
  <c r="A413" i="7"/>
  <c r="F413" i="7"/>
  <c r="G412" i="7"/>
  <c r="A412" i="7"/>
  <c r="F412" i="7"/>
  <c r="G411" i="7"/>
  <c r="A411" i="7"/>
  <c r="F411" i="7"/>
  <c r="G410" i="7"/>
  <c r="A410" i="7"/>
  <c r="F410" i="7"/>
  <c r="G409" i="7"/>
  <c r="A409" i="7"/>
  <c r="F409" i="7"/>
  <c r="G408" i="7"/>
  <c r="A408" i="7"/>
  <c r="F408" i="7"/>
  <c r="G407" i="7"/>
  <c r="A407" i="7"/>
  <c r="F407" i="7"/>
  <c r="G406" i="7"/>
  <c r="A406" i="7"/>
  <c r="F406" i="7"/>
  <c r="G405" i="7"/>
  <c r="A405" i="7"/>
  <c r="F405" i="7"/>
  <c r="G404" i="7"/>
  <c r="A404" i="7"/>
  <c r="F404" i="7"/>
  <c r="G403" i="7"/>
  <c r="A403" i="7"/>
  <c r="F403" i="7"/>
  <c r="G402" i="7"/>
  <c r="A402" i="7"/>
  <c r="F402" i="7"/>
  <c r="G401" i="7"/>
  <c r="A401" i="7"/>
  <c r="F401" i="7"/>
  <c r="G400" i="7"/>
  <c r="A400" i="7"/>
  <c r="F400" i="7"/>
  <c r="G399" i="7"/>
  <c r="A399" i="7"/>
  <c r="F399" i="7"/>
  <c r="G398" i="7"/>
  <c r="A398" i="7"/>
  <c r="F398" i="7"/>
  <c r="G397" i="7"/>
  <c r="A397" i="7"/>
  <c r="F397" i="7"/>
  <c r="G396" i="7"/>
  <c r="A396" i="7"/>
  <c r="F396" i="7"/>
  <c r="G395" i="7"/>
  <c r="A395" i="7"/>
  <c r="F395" i="7"/>
  <c r="G394" i="7"/>
  <c r="A394" i="7"/>
  <c r="F394" i="7"/>
  <c r="G393" i="7"/>
  <c r="A393" i="7"/>
  <c r="F393" i="7"/>
  <c r="G392" i="7"/>
  <c r="A392" i="7"/>
  <c r="F392" i="7"/>
  <c r="G391" i="7"/>
  <c r="A391" i="7"/>
  <c r="F391" i="7"/>
  <c r="G390" i="7"/>
  <c r="A390" i="7"/>
  <c r="F390" i="7"/>
  <c r="G389" i="7"/>
  <c r="A389" i="7"/>
  <c r="F389" i="7"/>
  <c r="G388" i="7"/>
  <c r="A388" i="7"/>
  <c r="F388" i="7"/>
  <c r="G387" i="7"/>
  <c r="A387" i="7"/>
  <c r="F387" i="7"/>
  <c r="G386" i="7"/>
  <c r="A386" i="7"/>
  <c r="F386" i="7"/>
  <c r="G385" i="7"/>
  <c r="A385" i="7"/>
  <c r="F385" i="7"/>
  <c r="G384" i="7"/>
  <c r="A384" i="7"/>
  <c r="F384" i="7"/>
  <c r="G383" i="7"/>
  <c r="A383" i="7"/>
  <c r="F383" i="7"/>
  <c r="G382" i="7"/>
  <c r="A382" i="7"/>
  <c r="F382" i="7"/>
  <c r="G381" i="7"/>
  <c r="A381" i="7"/>
  <c r="F381" i="7"/>
  <c r="G380" i="7"/>
  <c r="A380" i="7"/>
  <c r="F380" i="7"/>
  <c r="G379" i="7"/>
  <c r="A379" i="7"/>
  <c r="F379" i="7"/>
  <c r="G378" i="7"/>
  <c r="A378" i="7"/>
  <c r="F378" i="7"/>
  <c r="G377" i="7"/>
  <c r="A377" i="7"/>
  <c r="F377" i="7"/>
  <c r="G376" i="7"/>
  <c r="A376" i="7"/>
  <c r="F376" i="7"/>
  <c r="G375" i="7"/>
  <c r="A375" i="7"/>
  <c r="F375" i="7"/>
  <c r="G374" i="7"/>
  <c r="A374" i="7"/>
  <c r="F374" i="7"/>
  <c r="G373" i="7"/>
  <c r="A373" i="7"/>
  <c r="F373" i="7"/>
  <c r="G372" i="7"/>
  <c r="A372" i="7"/>
  <c r="F372" i="7"/>
  <c r="G371" i="7"/>
  <c r="A371" i="7"/>
  <c r="F371" i="7"/>
  <c r="G370" i="7"/>
  <c r="A370" i="7"/>
  <c r="F370" i="7"/>
  <c r="G369" i="7"/>
  <c r="A369" i="7"/>
  <c r="F369" i="7"/>
  <c r="G368" i="7"/>
  <c r="A368" i="7"/>
  <c r="F368" i="7"/>
  <c r="G367" i="7"/>
  <c r="A367" i="7"/>
  <c r="F367" i="7"/>
  <c r="G366" i="7"/>
  <c r="A366" i="7"/>
  <c r="F366" i="7"/>
  <c r="G365" i="7"/>
  <c r="A365" i="7"/>
  <c r="F365" i="7"/>
  <c r="G364" i="7"/>
  <c r="A364" i="7"/>
  <c r="F364" i="7"/>
  <c r="G363" i="7"/>
  <c r="A363" i="7"/>
  <c r="F363" i="7"/>
  <c r="G362" i="7"/>
  <c r="A362" i="7"/>
  <c r="F362" i="7"/>
  <c r="G361" i="7"/>
  <c r="A361" i="7"/>
  <c r="F361" i="7"/>
  <c r="G360" i="7"/>
  <c r="A360" i="7"/>
  <c r="F360" i="7"/>
  <c r="G359" i="7"/>
  <c r="A359" i="7"/>
  <c r="F359" i="7"/>
  <c r="G358" i="7"/>
  <c r="A358" i="7"/>
  <c r="F358" i="7"/>
  <c r="G357" i="7"/>
  <c r="A357" i="7"/>
  <c r="F357" i="7"/>
  <c r="G356" i="7"/>
  <c r="A356" i="7"/>
  <c r="F356" i="7"/>
  <c r="G355" i="7"/>
  <c r="A355" i="7"/>
  <c r="F355" i="7"/>
  <c r="G354" i="7"/>
  <c r="A354" i="7"/>
  <c r="F354" i="7"/>
  <c r="G353" i="7"/>
  <c r="A353" i="7"/>
  <c r="F353" i="7"/>
  <c r="G352" i="7"/>
  <c r="A352" i="7"/>
  <c r="F352" i="7"/>
  <c r="G351" i="7"/>
  <c r="A351" i="7"/>
  <c r="F351" i="7"/>
  <c r="G350" i="7"/>
  <c r="A350" i="7"/>
  <c r="F350" i="7"/>
  <c r="G349" i="7"/>
  <c r="A349" i="7"/>
  <c r="F349" i="7"/>
  <c r="G348" i="7"/>
  <c r="A348" i="7"/>
  <c r="F348" i="7"/>
  <c r="G347" i="7"/>
  <c r="A347" i="7"/>
  <c r="F347" i="7"/>
  <c r="G346" i="7"/>
  <c r="A346" i="7"/>
  <c r="F346" i="7"/>
  <c r="G345" i="7"/>
  <c r="A345" i="7"/>
  <c r="F345" i="7"/>
  <c r="G344" i="7"/>
  <c r="A344" i="7"/>
  <c r="F344" i="7"/>
  <c r="G343" i="7"/>
  <c r="A343" i="7"/>
  <c r="F343" i="7"/>
  <c r="G342" i="7"/>
  <c r="A342" i="7"/>
  <c r="F342" i="7"/>
  <c r="G341" i="7"/>
  <c r="A341" i="7"/>
  <c r="F341" i="7"/>
  <c r="G340" i="7"/>
  <c r="A340" i="7"/>
  <c r="F340" i="7"/>
  <c r="G339" i="7"/>
  <c r="A339" i="7"/>
  <c r="F339" i="7"/>
  <c r="G338" i="7"/>
  <c r="A338" i="7"/>
  <c r="F338" i="7"/>
  <c r="G337" i="7"/>
  <c r="A337" i="7"/>
  <c r="F337" i="7"/>
  <c r="G336" i="7"/>
  <c r="A336" i="7"/>
  <c r="F336" i="7"/>
  <c r="G335" i="7"/>
  <c r="A335" i="7"/>
  <c r="F335" i="7"/>
  <c r="G334" i="7"/>
  <c r="A334" i="7"/>
  <c r="F334" i="7"/>
  <c r="G333" i="7"/>
  <c r="A333" i="7"/>
  <c r="F333" i="7"/>
  <c r="G332" i="7"/>
  <c r="A332" i="7"/>
  <c r="F332" i="7"/>
  <c r="G331" i="7"/>
  <c r="A331" i="7"/>
  <c r="F331" i="7"/>
  <c r="G330" i="7"/>
  <c r="A330" i="7"/>
  <c r="F330" i="7"/>
  <c r="G329" i="7"/>
  <c r="A329" i="7"/>
  <c r="F329" i="7"/>
  <c r="G328" i="7"/>
  <c r="A328" i="7"/>
  <c r="F328" i="7"/>
  <c r="G327" i="7"/>
  <c r="A327" i="7"/>
  <c r="F327" i="7"/>
  <c r="G326" i="7"/>
  <c r="A326" i="7"/>
  <c r="F326" i="7"/>
  <c r="G325" i="7"/>
  <c r="A325" i="7"/>
  <c r="F325" i="7"/>
  <c r="G324" i="7"/>
  <c r="A324" i="7"/>
  <c r="F324" i="7"/>
  <c r="G323" i="7"/>
  <c r="A323" i="7"/>
  <c r="F323" i="7"/>
  <c r="G322" i="7"/>
  <c r="A322" i="7"/>
  <c r="F322" i="7"/>
  <c r="G321" i="7"/>
  <c r="A321" i="7"/>
  <c r="F321" i="7"/>
  <c r="G320" i="7"/>
  <c r="A320" i="7"/>
  <c r="F320" i="7"/>
  <c r="G319" i="7"/>
  <c r="A319" i="7"/>
  <c r="F319" i="7"/>
  <c r="G318" i="7"/>
  <c r="A318" i="7"/>
  <c r="F318" i="7"/>
  <c r="G317" i="7"/>
  <c r="A317" i="7"/>
  <c r="F317" i="7"/>
  <c r="G316" i="7"/>
  <c r="A316" i="7"/>
  <c r="F316" i="7"/>
  <c r="G315" i="7"/>
  <c r="A315" i="7"/>
  <c r="F315" i="7"/>
  <c r="G314" i="7"/>
  <c r="A314" i="7"/>
  <c r="F314" i="7"/>
  <c r="G313" i="7"/>
  <c r="A313" i="7"/>
  <c r="F313" i="7"/>
  <c r="G312" i="7"/>
  <c r="A312" i="7"/>
  <c r="F312" i="7"/>
  <c r="G311" i="7"/>
  <c r="A311" i="7"/>
  <c r="F311" i="7"/>
  <c r="G310" i="7"/>
  <c r="A310" i="7"/>
  <c r="F310" i="7"/>
  <c r="G309" i="7"/>
  <c r="A309" i="7"/>
  <c r="F309" i="7"/>
  <c r="G308" i="7"/>
  <c r="A308" i="7"/>
  <c r="F308" i="7"/>
  <c r="G307" i="7"/>
  <c r="A307" i="7"/>
  <c r="F307" i="7"/>
  <c r="G306" i="7"/>
  <c r="A306" i="7"/>
  <c r="F306" i="7"/>
  <c r="G305" i="7"/>
  <c r="A305" i="7"/>
  <c r="F305" i="7"/>
  <c r="G304" i="7"/>
  <c r="A304" i="7"/>
  <c r="F304" i="7"/>
  <c r="G303" i="7"/>
  <c r="A303" i="7"/>
  <c r="F303" i="7"/>
  <c r="G302" i="7"/>
  <c r="A302" i="7"/>
  <c r="F302" i="7"/>
  <c r="G301" i="7"/>
  <c r="A301" i="7"/>
  <c r="F301" i="7"/>
  <c r="G300" i="7"/>
  <c r="A300" i="7"/>
  <c r="F300" i="7"/>
  <c r="G299" i="7"/>
  <c r="A299" i="7"/>
  <c r="F299" i="7"/>
  <c r="G298" i="7"/>
  <c r="A298" i="7"/>
  <c r="F298" i="7"/>
  <c r="G297" i="7"/>
  <c r="A297" i="7"/>
  <c r="F297" i="7"/>
  <c r="G296" i="7"/>
  <c r="A296" i="7"/>
  <c r="F296" i="7"/>
  <c r="G295" i="7"/>
  <c r="A295" i="7"/>
  <c r="F295" i="7"/>
  <c r="G294" i="7"/>
  <c r="A294" i="7"/>
  <c r="F294" i="7"/>
  <c r="G293" i="7"/>
  <c r="A293" i="7"/>
  <c r="F293" i="7"/>
  <c r="G292" i="7"/>
  <c r="A292" i="7"/>
  <c r="F292" i="7"/>
  <c r="G291" i="7"/>
  <c r="A291" i="7"/>
  <c r="F291" i="7"/>
  <c r="G290" i="7"/>
  <c r="A290" i="7"/>
  <c r="F290" i="7"/>
  <c r="G289" i="7"/>
  <c r="A289" i="7"/>
  <c r="F289" i="7"/>
  <c r="G288" i="7"/>
  <c r="A288" i="7"/>
  <c r="F288" i="7"/>
  <c r="G287" i="7"/>
  <c r="A287" i="7"/>
  <c r="F287" i="7"/>
  <c r="G286" i="7"/>
  <c r="A286" i="7"/>
  <c r="F286" i="7"/>
  <c r="G285" i="7"/>
  <c r="A285" i="7"/>
  <c r="F285" i="7"/>
  <c r="G284" i="7"/>
  <c r="A284" i="7"/>
  <c r="F284" i="7"/>
  <c r="G283" i="7"/>
  <c r="A283" i="7"/>
  <c r="F283" i="7"/>
  <c r="G282" i="7"/>
  <c r="A282" i="7"/>
  <c r="F282" i="7"/>
  <c r="G281" i="7"/>
  <c r="A281" i="7"/>
  <c r="F281" i="7"/>
  <c r="G280" i="7"/>
  <c r="A280" i="7"/>
  <c r="F280" i="7"/>
  <c r="G279" i="7"/>
  <c r="A279" i="7"/>
  <c r="F279" i="7"/>
  <c r="G278" i="7"/>
  <c r="A278" i="7"/>
  <c r="F278" i="7"/>
  <c r="G277" i="7"/>
  <c r="A277" i="7"/>
  <c r="F277" i="7"/>
  <c r="G276" i="7"/>
  <c r="A276" i="7"/>
  <c r="F276" i="7"/>
  <c r="G275" i="7"/>
  <c r="A275" i="7"/>
  <c r="F275" i="7"/>
  <c r="G274" i="7"/>
  <c r="A274" i="7"/>
  <c r="F274" i="7"/>
  <c r="G273" i="7"/>
  <c r="A273" i="7"/>
  <c r="F273" i="7"/>
  <c r="G272" i="7"/>
  <c r="A272" i="7"/>
  <c r="F272" i="7"/>
  <c r="G271" i="7"/>
  <c r="A271" i="7"/>
  <c r="F271" i="7"/>
  <c r="G270" i="7"/>
  <c r="A270" i="7"/>
  <c r="F270" i="7"/>
  <c r="G269" i="7"/>
  <c r="A269" i="7"/>
  <c r="F269" i="7"/>
  <c r="G268" i="7"/>
  <c r="A268" i="7"/>
  <c r="F268" i="7"/>
  <c r="G267" i="7"/>
  <c r="A267" i="7"/>
  <c r="F267" i="7"/>
  <c r="G266" i="7"/>
  <c r="A266" i="7"/>
  <c r="F266" i="7"/>
  <c r="G265" i="7"/>
  <c r="A265" i="7"/>
  <c r="F265" i="7"/>
  <c r="G264" i="7"/>
  <c r="A264" i="7"/>
  <c r="F264" i="7"/>
  <c r="G263" i="7"/>
  <c r="A263" i="7"/>
  <c r="F263" i="7"/>
  <c r="G262" i="7"/>
  <c r="A262" i="7"/>
  <c r="F262" i="7"/>
  <c r="G261" i="7"/>
  <c r="A261" i="7"/>
  <c r="F261" i="7"/>
  <c r="G260" i="7"/>
  <c r="A260" i="7"/>
  <c r="F260" i="7"/>
  <c r="G259" i="7"/>
  <c r="A259" i="7"/>
  <c r="F259" i="7"/>
  <c r="G258" i="7"/>
  <c r="A258" i="7"/>
  <c r="F258" i="7"/>
  <c r="G257" i="7"/>
  <c r="A257" i="7"/>
  <c r="F257" i="7"/>
  <c r="G256" i="7"/>
  <c r="A256" i="7"/>
  <c r="F256" i="7"/>
  <c r="G255" i="7"/>
  <c r="A255" i="7"/>
  <c r="F255" i="7"/>
  <c r="G254" i="7"/>
  <c r="A254" i="7"/>
  <c r="F254" i="7"/>
  <c r="G253" i="7"/>
  <c r="A253" i="7"/>
  <c r="F253" i="7"/>
  <c r="G252" i="7"/>
  <c r="A252" i="7"/>
  <c r="F252" i="7"/>
  <c r="G251" i="7"/>
  <c r="A251" i="7"/>
  <c r="F251" i="7"/>
  <c r="G250" i="7"/>
  <c r="A250" i="7"/>
  <c r="F250" i="7"/>
  <c r="G249" i="7"/>
  <c r="A249" i="7"/>
  <c r="F249" i="7"/>
  <c r="G248" i="7"/>
  <c r="A248" i="7"/>
  <c r="F248" i="7"/>
  <c r="G247" i="7"/>
  <c r="A247" i="7"/>
  <c r="F247" i="7"/>
  <c r="G246" i="7"/>
  <c r="A246" i="7"/>
  <c r="F246" i="7"/>
  <c r="G245" i="7"/>
  <c r="A245" i="7"/>
  <c r="F245" i="7"/>
  <c r="G244" i="7"/>
  <c r="A244" i="7"/>
  <c r="F244" i="7"/>
  <c r="G243" i="7"/>
  <c r="A243" i="7"/>
  <c r="F243" i="7"/>
  <c r="G242" i="7"/>
  <c r="A242" i="7"/>
  <c r="F242" i="7"/>
  <c r="G241" i="7"/>
  <c r="A241" i="7"/>
  <c r="F241" i="7"/>
  <c r="G240" i="7"/>
  <c r="A240" i="7"/>
  <c r="F240" i="7"/>
  <c r="G239" i="7"/>
  <c r="A239" i="7"/>
  <c r="F239" i="7"/>
  <c r="G238" i="7"/>
  <c r="A238" i="7"/>
  <c r="F238" i="7"/>
  <c r="G237" i="7"/>
  <c r="A237" i="7"/>
  <c r="F237" i="7"/>
  <c r="G236" i="7"/>
  <c r="A236" i="7"/>
  <c r="F236" i="7"/>
  <c r="G235" i="7"/>
  <c r="A235" i="7"/>
  <c r="F235" i="7"/>
  <c r="G234" i="7"/>
  <c r="A234" i="7"/>
  <c r="F234" i="7"/>
  <c r="G233" i="7"/>
  <c r="A233" i="7"/>
  <c r="F233" i="7"/>
  <c r="G232" i="7"/>
  <c r="A232" i="7"/>
  <c r="F232" i="7"/>
  <c r="G231" i="7"/>
  <c r="A231" i="7"/>
  <c r="F231" i="7"/>
  <c r="G230" i="7"/>
  <c r="A230" i="7"/>
  <c r="F230" i="7"/>
  <c r="G229" i="7"/>
  <c r="A229" i="7"/>
  <c r="F229" i="7"/>
  <c r="G228" i="7"/>
  <c r="A228" i="7"/>
  <c r="F228" i="7"/>
  <c r="G227" i="7"/>
  <c r="A227" i="7"/>
  <c r="F227" i="7"/>
  <c r="G226" i="7"/>
  <c r="A226" i="7"/>
  <c r="F226" i="7"/>
  <c r="G225" i="7"/>
  <c r="A225" i="7"/>
  <c r="F225" i="7"/>
  <c r="G224" i="7"/>
  <c r="A224" i="7"/>
  <c r="F224" i="7"/>
  <c r="G223" i="7"/>
  <c r="A223" i="7"/>
  <c r="F223" i="7"/>
  <c r="G222" i="7"/>
  <c r="A222" i="7"/>
  <c r="F222" i="7"/>
  <c r="G221" i="7"/>
  <c r="A221" i="7"/>
  <c r="F221" i="7"/>
  <c r="G220" i="7"/>
  <c r="A220" i="7"/>
  <c r="F220" i="7"/>
  <c r="G219" i="7"/>
  <c r="A219" i="7"/>
  <c r="F219" i="7"/>
  <c r="G218" i="7"/>
  <c r="A218" i="7"/>
  <c r="F218" i="7"/>
  <c r="G217" i="7"/>
  <c r="A217" i="7"/>
  <c r="F217" i="7"/>
  <c r="G216" i="7"/>
  <c r="A216" i="7"/>
  <c r="F216" i="7"/>
  <c r="G215" i="7"/>
  <c r="A215" i="7"/>
  <c r="F215" i="7"/>
  <c r="G214" i="7"/>
  <c r="A214" i="7"/>
  <c r="F214" i="7"/>
  <c r="G213" i="7"/>
  <c r="A213" i="7"/>
  <c r="F213" i="7"/>
  <c r="G212" i="7"/>
  <c r="A212" i="7"/>
  <c r="F212" i="7"/>
  <c r="G211" i="7"/>
  <c r="A211" i="7"/>
  <c r="F211" i="7"/>
  <c r="G210" i="7"/>
  <c r="A210" i="7"/>
  <c r="F210" i="7"/>
  <c r="G209" i="7"/>
  <c r="A209" i="7"/>
  <c r="F209" i="7"/>
  <c r="G208" i="7"/>
  <c r="A208" i="7"/>
  <c r="F208" i="7"/>
  <c r="G207" i="7"/>
  <c r="A207" i="7"/>
  <c r="F207" i="7"/>
  <c r="G206" i="7"/>
  <c r="A206" i="7"/>
  <c r="F206" i="7"/>
  <c r="G205" i="7"/>
  <c r="A205" i="7"/>
  <c r="F205" i="7"/>
  <c r="G204" i="7"/>
  <c r="A204" i="7"/>
  <c r="F204" i="7"/>
  <c r="G203" i="7"/>
  <c r="A203" i="7"/>
  <c r="F203" i="7"/>
  <c r="G202" i="7"/>
  <c r="A202" i="7"/>
  <c r="F202" i="7"/>
  <c r="G201" i="7"/>
  <c r="A201" i="7"/>
  <c r="F201" i="7"/>
  <c r="G200" i="7"/>
  <c r="A200" i="7"/>
  <c r="F200" i="7"/>
  <c r="G199" i="7"/>
  <c r="A199" i="7"/>
  <c r="F199" i="7"/>
  <c r="G198" i="7"/>
  <c r="A198" i="7"/>
  <c r="F198" i="7"/>
  <c r="G197" i="7"/>
  <c r="A197" i="7"/>
  <c r="F197" i="7"/>
  <c r="G196" i="7"/>
  <c r="A196" i="7"/>
  <c r="F196" i="7"/>
  <c r="G195" i="7"/>
  <c r="A195" i="7"/>
  <c r="F195" i="7"/>
  <c r="G194" i="7"/>
  <c r="A194" i="7"/>
  <c r="F194" i="7"/>
  <c r="G193" i="7"/>
  <c r="A193" i="7"/>
  <c r="F193" i="7"/>
  <c r="G192" i="7"/>
  <c r="A192" i="7"/>
  <c r="F192" i="7"/>
  <c r="G191" i="7"/>
  <c r="A191" i="7"/>
  <c r="F191" i="7"/>
  <c r="G190" i="7"/>
  <c r="A190" i="7"/>
  <c r="F190" i="7"/>
  <c r="G189" i="7"/>
  <c r="A189" i="7"/>
  <c r="F189" i="7"/>
  <c r="G188" i="7"/>
  <c r="A188" i="7"/>
  <c r="F188" i="7"/>
  <c r="G187" i="7"/>
  <c r="A187" i="7"/>
  <c r="F187" i="7"/>
  <c r="G186" i="7"/>
  <c r="A186" i="7"/>
  <c r="F186" i="7"/>
  <c r="G185" i="7"/>
  <c r="A185" i="7"/>
  <c r="F185" i="7"/>
  <c r="G184" i="7"/>
  <c r="A184" i="7"/>
  <c r="F184" i="7"/>
  <c r="G183" i="7"/>
  <c r="A183" i="7"/>
  <c r="F183" i="7"/>
  <c r="G182" i="7"/>
  <c r="A182" i="7"/>
  <c r="F182" i="7"/>
  <c r="G181" i="7"/>
  <c r="A181" i="7"/>
  <c r="F181" i="7"/>
  <c r="G180" i="7"/>
  <c r="A180" i="7"/>
  <c r="F180" i="7"/>
  <c r="G179" i="7"/>
  <c r="A179" i="7"/>
  <c r="F179" i="7"/>
  <c r="G178" i="7"/>
  <c r="A178" i="7"/>
  <c r="F178" i="7"/>
  <c r="G177" i="7"/>
  <c r="A177" i="7"/>
  <c r="F177" i="7"/>
  <c r="G176" i="7"/>
  <c r="A176" i="7"/>
  <c r="F176" i="7"/>
  <c r="G175" i="7"/>
  <c r="A175" i="7"/>
  <c r="F175" i="7"/>
  <c r="G174" i="7"/>
  <c r="A174" i="7"/>
  <c r="F174" i="7"/>
  <c r="G173" i="7"/>
  <c r="A173" i="7"/>
  <c r="F173" i="7"/>
  <c r="G172" i="7"/>
  <c r="A172" i="7"/>
  <c r="F172" i="7"/>
  <c r="G171" i="7"/>
  <c r="A171" i="7"/>
  <c r="F171" i="7"/>
  <c r="G170" i="7"/>
  <c r="A170" i="7"/>
  <c r="F170" i="7"/>
  <c r="G169" i="7"/>
  <c r="A169" i="7"/>
  <c r="F169" i="7"/>
  <c r="G168" i="7"/>
  <c r="A168" i="7"/>
  <c r="F168" i="7"/>
  <c r="G167" i="7"/>
  <c r="A167" i="7"/>
  <c r="F167" i="7"/>
  <c r="G166" i="7"/>
  <c r="A166" i="7"/>
  <c r="F166" i="7"/>
  <c r="G165" i="7"/>
  <c r="A165" i="7"/>
  <c r="F165" i="7"/>
  <c r="G164" i="7"/>
  <c r="A164" i="7"/>
  <c r="F164" i="7"/>
  <c r="G163" i="7"/>
  <c r="A163" i="7"/>
  <c r="F163" i="7"/>
  <c r="G162" i="7"/>
  <c r="A162" i="7"/>
  <c r="F162" i="7"/>
  <c r="G161" i="7"/>
  <c r="A161" i="7"/>
  <c r="F161" i="7"/>
  <c r="G160" i="7"/>
  <c r="A160" i="7"/>
  <c r="F160" i="7"/>
  <c r="G159" i="7"/>
  <c r="A159" i="7"/>
  <c r="F159" i="7"/>
  <c r="G158" i="7"/>
  <c r="A158" i="7"/>
  <c r="F158" i="7"/>
  <c r="G157" i="7"/>
  <c r="A157" i="7"/>
  <c r="F157" i="7"/>
  <c r="G156" i="7"/>
  <c r="A156" i="7"/>
  <c r="F156" i="7"/>
  <c r="G155" i="7"/>
  <c r="A155" i="7"/>
  <c r="F155" i="7"/>
  <c r="G154" i="7"/>
  <c r="A154" i="7"/>
  <c r="F154" i="7"/>
  <c r="G153" i="7"/>
  <c r="A153" i="7"/>
  <c r="F153" i="7"/>
  <c r="G152" i="7"/>
  <c r="A152" i="7"/>
  <c r="F152" i="7"/>
  <c r="G151" i="7"/>
  <c r="A151" i="7"/>
  <c r="F151" i="7"/>
  <c r="G150" i="7"/>
  <c r="A150" i="7"/>
  <c r="F150" i="7"/>
  <c r="G149" i="7"/>
  <c r="A149" i="7"/>
  <c r="F149" i="7"/>
  <c r="G148" i="7"/>
  <c r="A148" i="7"/>
  <c r="F148" i="7"/>
  <c r="G147" i="7"/>
  <c r="A147" i="7"/>
  <c r="F147" i="7"/>
  <c r="G146" i="7"/>
  <c r="A146" i="7"/>
  <c r="F146" i="7"/>
  <c r="G145" i="7"/>
  <c r="A145" i="7"/>
  <c r="F145" i="7"/>
  <c r="G144" i="7"/>
  <c r="A144" i="7"/>
  <c r="F144" i="7"/>
  <c r="G143" i="7"/>
  <c r="A143" i="7"/>
  <c r="F143" i="7"/>
  <c r="G142" i="7"/>
  <c r="A142" i="7"/>
  <c r="F142" i="7"/>
  <c r="G141" i="7"/>
  <c r="A141" i="7"/>
  <c r="F141" i="7"/>
  <c r="G140" i="7"/>
  <c r="A140" i="7"/>
  <c r="F140" i="7"/>
  <c r="G139" i="7"/>
  <c r="A139" i="7"/>
  <c r="F139" i="7"/>
  <c r="G138" i="7"/>
  <c r="A138" i="7"/>
  <c r="F138" i="7"/>
  <c r="G137" i="7"/>
  <c r="A137" i="7"/>
  <c r="F137" i="7"/>
  <c r="G136" i="7"/>
  <c r="A136" i="7"/>
  <c r="F136" i="7"/>
  <c r="G135" i="7"/>
  <c r="A135" i="7"/>
  <c r="F135" i="7"/>
  <c r="G134" i="7"/>
  <c r="A134" i="7"/>
  <c r="F134" i="7"/>
  <c r="G133" i="7"/>
  <c r="A133" i="7"/>
  <c r="F133" i="7"/>
  <c r="G132" i="7"/>
  <c r="A132" i="7"/>
  <c r="F132" i="7"/>
  <c r="G131" i="7"/>
  <c r="A131" i="7"/>
  <c r="F131" i="7"/>
  <c r="G130" i="7"/>
  <c r="A130" i="7"/>
  <c r="F130" i="7"/>
  <c r="G129" i="7"/>
  <c r="A129" i="7"/>
  <c r="F129" i="7"/>
  <c r="G128" i="7"/>
  <c r="A128" i="7"/>
  <c r="F128" i="7"/>
  <c r="G127" i="7"/>
  <c r="A127" i="7"/>
  <c r="F127" i="7"/>
  <c r="G126" i="7"/>
  <c r="A126" i="7"/>
  <c r="F126" i="7"/>
  <c r="G125" i="7"/>
  <c r="A125" i="7"/>
  <c r="F125" i="7"/>
  <c r="G124" i="7"/>
  <c r="A124" i="7"/>
  <c r="F124" i="7"/>
  <c r="G123" i="7"/>
  <c r="A123" i="7"/>
  <c r="F123" i="7"/>
  <c r="G122" i="7"/>
  <c r="A122" i="7"/>
  <c r="F122" i="7"/>
  <c r="G121" i="7"/>
  <c r="A121" i="7"/>
  <c r="F121" i="7"/>
  <c r="G120" i="7"/>
  <c r="A120" i="7"/>
  <c r="F120" i="7"/>
  <c r="G119" i="7"/>
  <c r="A119" i="7"/>
  <c r="F119" i="7"/>
  <c r="G118" i="7"/>
  <c r="A118" i="7"/>
  <c r="F118" i="7"/>
  <c r="G117" i="7"/>
  <c r="A117" i="7"/>
  <c r="F117" i="7"/>
  <c r="G116" i="7"/>
  <c r="A116" i="7"/>
  <c r="F116" i="7"/>
  <c r="G115" i="7"/>
  <c r="A115" i="7"/>
  <c r="F115" i="7"/>
  <c r="G114" i="7"/>
  <c r="A114" i="7"/>
  <c r="F114" i="7"/>
  <c r="G113" i="7"/>
  <c r="A113" i="7"/>
  <c r="F113" i="7"/>
  <c r="G112" i="7"/>
  <c r="A112" i="7"/>
  <c r="F112" i="7"/>
  <c r="G111" i="7"/>
  <c r="A111" i="7"/>
  <c r="F111" i="7"/>
  <c r="G110" i="7"/>
  <c r="A110" i="7"/>
  <c r="F110" i="7"/>
  <c r="G109" i="7"/>
  <c r="A109" i="7"/>
  <c r="F109" i="7"/>
  <c r="G108" i="7"/>
  <c r="A108" i="7"/>
  <c r="F108" i="7"/>
  <c r="G107" i="7"/>
  <c r="A107" i="7"/>
  <c r="F107" i="7"/>
  <c r="G106" i="7"/>
  <c r="A106" i="7"/>
  <c r="F106" i="7"/>
  <c r="G105" i="7"/>
  <c r="A105" i="7"/>
  <c r="F105" i="7"/>
  <c r="G104" i="7"/>
  <c r="A104" i="7"/>
  <c r="F104" i="7"/>
  <c r="G103" i="7"/>
  <c r="A103" i="7"/>
  <c r="F103" i="7"/>
  <c r="G102" i="7"/>
  <c r="A102" i="7"/>
  <c r="F102" i="7"/>
  <c r="G101" i="7"/>
  <c r="A101" i="7"/>
  <c r="F101" i="7"/>
  <c r="G100" i="7"/>
  <c r="A100" i="7"/>
  <c r="F100" i="7"/>
  <c r="G99" i="7"/>
  <c r="A99" i="7"/>
  <c r="F99" i="7"/>
  <c r="G98" i="7"/>
  <c r="A98" i="7"/>
  <c r="F98" i="7"/>
  <c r="G97" i="7"/>
  <c r="A97" i="7"/>
  <c r="F97" i="7"/>
  <c r="G96" i="7"/>
  <c r="A96" i="7"/>
  <c r="F96" i="7"/>
  <c r="G95" i="7"/>
  <c r="A95" i="7"/>
  <c r="F95" i="7"/>
  <c r="G94" i="7"/>
  <c r="A94" i="7"/>
  <c r="F94" i="7"/>
  <c r="G93" i="7"/>
  <c r="A93" i="7"/>
  <c r="F93" i="7"/>
  <c r="G92" i="7"/>
  <c r="A92" i="7"/>
  <c r="F92" i="7"/>
  <c r="G91" i="7"/>
  <c r="A91" i="7"/>
  <c r="F91" i="7"/>
  <c r="G90" i="7"/>
  <c r="A90" i="7"/>
  <c r="F90" i="7"/>
  <c r="G89" i="7"/>
  <c r="A89" i="7"/>
  <c r="F89" i="7"/>
  <c r="G88" i="7"/>
  <c r="A88" i="7"/>
  <c r="F88" i="7"/>
  <c r="G87" i="7"/>
  <c r="A87" i="7"/>
  <c r="F87" i="7"/>
  <c r="G86" i="7"/>
  <c r="A86" i="7"/>
  <c r="F86" i="7"/>
  <c r="G85" i="7"/>
  <c r="A85" i="7"/>
  <c r="F85" i="7"/>
  <c r="G84" i="7"/>
  <c r="A84" i="7"/>
  <c r="F84" i="7"/>
  <c r="G83" i="7"/>
  <c r="A83" i="7"/>
  <c r="F83" i="7"/>
  <c r="G82" i="7"/>
  <c r="A82" i="7"/>
  <c r="F82" i="7"/>
  <c r="G81" i="7"/>
  <c r="A81" i="7"/>
  <c r="F81" i="7"/>
  <c r="G80" i="7"/>
  <c r="A80" i="7"/>
  <c r="F80" i="7"/>
  <c r="G79" i="7"/>
  <c r="A79" i="7"/>
  <c r="F79" i="7"/>
  <c r="G78" i="7"/>
  <c r="A78" i="7"/>
  <c r="F78" i="7"/>
  <c r="G77" i="7"/>
  <c r="A77" i="7"/>
  <c r="F77" i="7"/>
  <c r="G76" i="7"/>
  <c r="A76" i="7"/>
  <c r="F76" i="7"/>
  <c r="G75" i="7"/>
  <c r="A75" i="7"/>
  <c r="F75" i="7"/>
  <c r="G74" i="7"/>
  <c r="A74" i="7"/>
  <c r="F74" i="7"/>
  <c r="G73" i="7"/>
  <c r="A73" i="7"/>
  <c r="F73" i="7"/>
  <c r="G72" i="7"/>
  <c r="A72" i="7"/>
  <c r="F72" i="7"/>
  <c r="G71" i="7"/>
  <c r="A71" i="7"/>
  <c r="F71" i="7"/>
  <c r="G70" i="7"/>
  <c r="A70" i="7"/>
  <c r="F70" i="7"/>
  <c r="G69" i="7"/>
  <c r="A69" i="7"/>
  <c r="F69" i="7"/>
  <c r="G68" i="7"/>
  <c r="A68" i="7"/>
  <c r="F68" i="7"/>
  <c r="G67" i="7"/>
  <c r="A67" i="7"/>
  <c r="F67" i="7"/>
  <c r="G66" i="7"/>
  <c r="A66" i="7"/>
  <c r="F66" i="7"/>
  <c r="G65" i="7"/>
  <c r="A65" i="7"/>
  <c r="F65" i="7"/>
  <c r="G64" i="7"/>
  <c r="A64" i="7"/>
  <c r="F64" i="7"/>
  <c r="G63" i="7"/>
  <c r="A63" i="7"/>
  <c r="F63" i="7"/>
  <c r="G62" i="7"/>
  <c r="A62" i="7"/>
  <c r="F62" i="7"/>
  <c r="G61" i="7"/>
  <c r="A61" i="7"/>
  <c r="F61" i="7"/>
  <c r="G60" i="7"/>
  <c r="A60" i="7"/>
  <c r="F60" i="7"/>
  <c r="G59" i="7"/>
  <c r="A59" i="7"/>
  <c r="F59" i="7"/>
  <c r="G58" i="7"/>
  <c r="A58" i="7"/>
  <c r="F58" i="7"/>
  <c r="G57" i="7"/>
  <c r="A57" i="7"/>
  <c r="F57" i="7"/>
  <c r="G56" i="7"/>
  <c r="A56" i="7"/>
  <c r="F56" i="7"/>
  <c r="G55" i="7"/>
  <c r="A55" i="7"/>
  <c r="F55" i="7"/>
  <c r="G54" i="7"/>
  <c r="A54" i="7"/>
  <c r="F54" i="7"/>
  <c r="G53" i="7"/>
  <c r="A53" i="7"/>
  <c r="F53" i="7"/>
  <c r="G52" i="7"/>
  <c r="A52" i="7"/>
  <c r="F52" i="7"/>
  <c r="G51" i="7"/>
  <c r="A51" i="7"/>
  <c r="F51" i="7"/>
  <c r="G50" i="7"/>
  <c r="A50" i="7"/>
  <c r="F50" i="7"/>
  <c r="G49" i="7"/>
  <c r="A49" i="7"/>
  <c r="F49" i="7"/>
  <c r="G48" i="7"/>
  <c r="A48" i="7"/>
  <c r="F48" i="7"/>
  <c r="G47" i="7"/>
  <c r="A47" i="7"/>
  <c r="F47" i="7"/>
  <c r="G46" i="7"/>
  <c r="A46" i="7"/>
  <c r="F46" i="7"/>
  <c r="G45" i="7"/>
  <c r="A45" i="7"/>
  <c r="F45" i="7"/>
  <c r="G44" i="7"/>
  <c r="A44" i="7"/>
  <c r="F44" i="7"/>
  <c r="G43" i="7"/>
  <c r="A43" i="7"/>
  <c r="F43" i="7"/>
  <c r="G42" i="7"/>
  <c r="A42" i="7"/>
  <c r="F42" i="7"/>
  <c r="G41" i="7"/>
  <c r="A41" i="7"/>
  <c r="F41" i="7"/>
  <c r="G40" i="7"/>
  <c r="A40" i="7"/>
  <c r="F40" i="7"/>
  <c r="G39" i="7"/>
  <c r="A39" i="7"/>
  <c r="F39" i="7"/>
  <c r="G38" i="7"/>
  <c r="A38" i="7"/>
  <c r="F38" i="7"/>
  <c r="G37" i="7"/>
  <c r="A37" i="7"/>
  <c r="F37" i="7"/>
  <c r="G36" i="7"/>
  <c r="A36" i="7"/>
  <c r="F36" i="7"/>
  <c r="G35" i="7"/>
  <c r="A35" i="7"/>
  <c r="F35" i="7"/>
  <c r="G34" i="7"/>
  <c r="A34" i="7"/>
  <c r="F34" i="7"/>
  <c r="G33" i="7"/>
  <c r="A33" i="7"/>
  <c r="F33" i="7"/>
  <c r="G32" i="7"/>
  <c r="A32" i="7"/>
  <c r="F32" i="7"/>
  <c r="G31" i="7"/>
  <c r="A31" i="7"/>
  <c r="F31" i="7"/>
  <c r="G30" i="7"/>
  <c r="A30" i="7"/>
  <c r="F30" i="7"/>
  <c r="G29" i="7"/>
  <c r="A29" i="7"/>
  <c r="F29" i="7"/>
  <c r="G28" i="7"/>
  <c r="A28" i="7"/>
  <c r="F28" i="7"/>
  <c r="G27" i="7"/>
  <c r="A27" i="7"/>
  <c r="F27" i="7"/>
  <c r="G26" i="7"/>
  <c r="A26" i="7"/>
  <c r="F26" i="7"/>
  <c r="G25" i="7"/>
  <c r="A25" i="7"/>
  <c r="F25" i="7"/>
  <c r="G24" i="7"/>
  <c r="A24" i="7"/>
  <c r="F24" i="7"/>
  <c r="G23" i="7"/>
  <c r="A23" i="7"/>
  <c r="F23" i="7"/>
  <c r="G22" i="7"/>
  <c r="A22" i="7"/>
  <c r="F22" i="7"/>
  <c r="G21" i="7"/>
  <c r="A21" i="7"/>
  <c r="F21" i="7"/>
  <c r="G20" i="7"/>
  <c r="A20" i="7"/>
  <c r="F20" i="7"/>
  <c r="G19" i="7"/>
  <c r="A19" i="7"/>
  <c r="F19" i="7"/>
  <c r="G18" i="7"/>
  <c r="A18" i="7"/>
  <c r="F18" i="7"/>
  <c r="G17" i="7"/>
  <c r="A17" i="7"/>
  <c r="F17" i="7"/>
  <c r="G16" i="7"/>
  <c r="A16" i="7"/>
  <c r="F16" i="7"/>
  <c r="G15" i="7"/>
  <c r="A15" i="7"/>
  <c r="F15" i="7"/>
  <c r="G14" i="7"/>
  <c r="A14" i="7"/>
  <c r="F14" i="7"/>
  <c r="G13" i="7"/>
  <c r="A13" i="7"/>
  <c r="F13" i="7"/>
  <c r="G12" i="7"/>
  <c r="A12" i="7"/>
  <c r="F12" i="7"/>
  <c r="G11" i="7"/>
  <c r="A11" i="7"/>
  <c r="F11" i="7"/>
  <c r="G10" i="7"/>
  <c r="A10" i="7"/>
  <c r="F10" i="7"/>
  <c r="G9" i="7"/>
  <c r="A9" i="7"/>
  <c r="F9" i="7"/>
  <c r="G8" i="7"/>
  <c r="A8" i="7"/>
  <c r="F8" i="7"/>
  <c r="G7" i="7"/>
  <c r="A7" i="7"/>
  <c r="F7" i="7"/>
  <c r="G6" i="7"/>
  <c r="A6" i="7"/>
  <c r="F6" i="7"/>
  <c r="G5" i="7"/>
  <c r="A5" i="7"/>
  <c r="F5" i="7"/>
  <c r="G4" i="7"/>
  <c r="A4" i="7"/>
  <c r="F4" i="7"/>
  <c r="G3" i="7"/>
  <c r="A3" i="7"/>
  <c r="F3" i="7"/>
  <c r="G2" i="7"/>
  <c r="A2" i="7"/>
  <c r="F2" i="7"/>
</calcChain>
</file>

<file path=xl/sharedStrings.xml><?xml version="1.0" encoding="utf-8"?>
<sst xmlns="http://schemas.openxmlformats.org/spreadsheetml/2006/main" count="3730" uniqueCount="3723">
  <si>
    <t>gene</t>
  </si>
  <si>
    <t>genename</t>
  </si>
  <si>
    <t>ENSG00000169885.10</t>
  </si>
  <si>
    <t>CALML6</t>
  </si>
  <si>
    <t>ENSG00000178821.13</t>
  </si>
  <si>
    <t>TMEM52</t>
  </si>
  <si>
    <t>ENSG00000149527.18</t>
  </si>
  <si>
    <t>PLCH2</t>
  </si>
  <si>
    <t>ENSG00000272235.1</t>
  </si>
  <si>
    <t>AL590438.1</t>
  </si>
  <si>
    <t>ENSG00000227589.1</t>
  </si>
  <si>
    <t>AL136528.1</t>
  </si>
  <si>
    <t>ENSG00000116254.18</t>
  </si>
  <si>
    <t>CHD5</t>
  </si>
  <si>
    <t>ENSG00000158292.7</t>
  </si>
  <si>
    <t>GPR153</t>
  </si>
  <si>
    <t>ENSG00000162490.7</t>
  </si>
  <si>
    <t>DRAXIN</t>
  </si>
  <si>
    <t>ENSG00000227684.2</t>
  </si>
  <si>
    <t>CROCCP4</t>
  </si>
  <si>
    <t>ENSG00000188257.11</t>
  </si>
  <si>
    <t>PLA2G2A</t>
  </si>
  <si>
    <t>ENSG00000184454.7</t>
  </si>
  <si>
    <t>NCMAP</t>
  </si>
  <si>
    <t>ENSG00000158022.6</t>
  </si>
  <si>
    <t>TRIM63</t>
  </si>
  <si>
    <t>ENSG00000158246.8</t>
  </si>
  <si>
    <t>TENT5B</t>
  </si>
  <si>
    <t>ENSG00000188060.7</t>
  </si>
  <si>
    <t>RAB42</t>
  </si>
  <si>
    <t>ENSG00000116329.11</t>
  </si>
  <si>
    <t>OPRD1</t>
  </si>
  <si>
    <t>ENSG00000253304.2</t>
  </si>
  <si>
    <t>TMEM200B</t>
  </si>
  <si>
    <t>ENSG00000189280.3</t>
  </si>
  <si>
    <t>GJB5</t>
  </si>
  <si>
    <t>ENSG00000116885.18</t>
  </si>
  <si>
    <t>OSCP1</t>
  </si>
  <si>
    <t>ENSG00000185668.7</t>
  </si>
  <si>
    <t>POU3F1</t>
  </si>
  <si>
    <t>ENSG00000224592.5</t>
  </si>
  <si>
    <t>AL139158.2</t>
  </si>
  <si>
    <t>ENSG00000183682.8</t>
  </si>
  <si>
    <t>BMP8A</t>
  </si>
  <si>
    <t>ENSG00000227533.5</t>
  </si>
  <si>
    <t>SLC2A1-AS1</t>
  </si>
  <si>
    <t>ENSG00000283973.1</t>
  </si>
  <si>
    <t>AC099795.1</t>
  </si>
  <si>
    <t>ENSG00000085831.15</t>
  </si>
  <si>
    <t>TTC39A</t>
  </si>
  <si>
    <t>ENSG00000169174.10</t>
  </si>
  <si>
    <t>PCSK9</t>
  </si>
  <si>
    <t>ENSG00000187889.13</t>
  </si>
  <si>
    <t>FYB2</t>
  </si>
  <si>
    <t>ENSG00000137941.17</t>
  </si>
  <si>
    <t>TTLL7</t>
  </si>
  <si>
    <t>ENSG00000137975.8</t>
  </si>
  <si>
    <t>CLCA2</t>
  </si>
  <si>
    <t>ENSG00000117228.10</t>
  </si>
  <si>
    <t>GBP1</t>
  </si>
  <si>
    <t>ENSG00000099260.11</t>
  </si>
  <si>
    <t>PALMD</t>
  </si>
  <si>
    <t>ENSG00000162636.16</t>
  </si>
  <si>
    <t>FAM102B</t>
  </si>
  <si>
    <t>ENSG00000198758.10</t>
  </si>
  <si>
    <t>EPS8L3</t>
  </si>
  <si>
    <t>ENSG00000116396.14</t>
  </si>
  <si>
    <t>KCNC4</t>
  </si>
  <si>
    <t>ENSG00000227811.2</t>
  </si>
  <si>
    <t>INKA2-AS1</t>
  </si>
  <si>
    <t>ENSG00000092607.15</t>
  </si>
  <si>
    <t>TBX15</t>
  </si>
  <si>
    <t>ENSG00000226443.3</t>
  </si>
  <si>
    <t>GAPDHP32</t>
  </si>
  <si>
    <t>ENSG00000131781.13</t>
  </si>
  <si>
    <t>FMO5</t>
  </si>
  <si>
    <t>ENSG00000226015.2</t>
  </si>
  <si>
    <t>CCT8P1</t>
  </si>
  <si>
    <t>ENSG00000014914.21</t>
  </si>
  <si>
    <t>MTMR11</t>
  </si>
  <si>
    <t>ENSG00000143401.15</t>
  </si>
  <si>
    <t>ANP32E</t>
  </si>
  <si>
    <t>ENSG00000163131.11</t>
  </si>
  <si>
    <t>CTSS</t>
  </si>
  <si>
    <t>ENSG00000237976.1</t>
  </si>
  <si>
    <t>AL391069.2</t>
  </si>
  <si>
    <t>ENSG00000159409.14</t>
  </si>
  <si>
    <t>CELF3</t>
  </si>
  <si>
    <t>ENSG00000231064.7</t>
  </si>
  <si>
    <t>AC234582.1</t>
  </si>
  <si>
    <t>ENSG00000143627.19</t>
  </si>
  <si>
    <t>PKLR</t>
  </si>
  <si>
    <t>ENSG00000158764.7</t>
  </si>
  <si>
    <t>ITLN2</t>
  </si>
  <si>
    <t>ENSG00000186517.14</t>
  </si>
  <si>
    <t>ARHGAP30</t>
  </si>
  <si>
    <t>ENSG00000158869.11</t>
  </si>
  <si>
    <t>FCER1G</t>
  </si>
  <si>
    <t>ENSG00000132185.16</t>
  </si>
  <si>
    <t>FCRLA</t>
  </si>
  <si>
    <t>ENSG00000143194.13</t>
  </si>
  <si>
    <t>MAEL</t>
  </si>
  <si>
    <t>ENSG00000143158.11</t>
  </si>
  <si>
    <t>MPC2</t>
  </si>
  <si>
    <t>ENSG00000143147.14</t>
  </si>
  <si>
    <t>GPR161</t>
  </si>
  <si>
    <t>ENSG00000117601.13</t>
  </si>
  <si>
    <t>SERPINC1</t>
  </si>
  <si>
    <t>ENSG00000116191.17</t>
  </si>
  <si>
    <t>RALGPS2</t>
  </si>
  <si>
    <t>ENSG00000116194.13</t>
  </si>
  <si>
    <t>ANGPTL1</t>
  </si>
  <si>
    <t>ENSG00000198756.12</t>
  </si>
  <si>
    <t>COLGALT2</t>
  </si>
  <si>
    <t>ENSG00000198860.12</t>
  </si>
  <si>
    <t>TSEN15</t>
  </si>
  <si>
    <t>ENSG00000274702.1</t>
  </si>
  <si>
    <t>AL357559.1</t>
  </si>
  <si>
    <t>ENSG00000285280.1</t>
  </si>
  <si>
    <t>AL390957.1</t>
  </si>
  <si>
    <t>ENSG00000116833.14</t>
  </si>
  <si>
    <t>NR5A2</t>
  </si>
  <si>
    <t>ENSG00000076356.7</t>
  </si>
  <si>
    <t>PLXNA2</t>
  </si>
  <si>
    <t>ENSG00000196878.15</t>
  </si>
  <si>
    <t>LAMB3</t>
  </si>
  <si>
    <t>ENSG00000054392.13</t>
  </si>
  <si>
    <t>HHAT</t>
  </si>
  <si>
    <t>ENSG00000227764.1</t>
  </si>
  <si>
    <t>LINC01693</t>
  </si>
  <si>
    <t>ENSG00000143494.15</t>
  </si>
  <si>
    <t>VASH2</t>
  </si>
  <si>
    <t>ENSG00000282418.1</t>
  </si>
  <si>
    <t>AC092811.2</t>
  </si>
  <si>
    <t>ENSG00000143816.8</t>
  </si>
  <si>
    <t>WNT9A</t>
  </si>
  <si>
    <t>ENSG00000135773.13</t>
  </si>
  <si>
    <t>CAPN9</t>
  </si>
  <si>
    <t>ENSG00000182118.8</t>
  </si>
  <si>
    <t>FAM89A</t>
  </si>
  <si>
    <t>ENSG00000077585.14</t>
  </si>
  <si>
    <t>GPR137B</t>
  </si>
  <si>
    <t>ENSG00000117020.17</t>
  </si>
  <si>
    <t>AKT3</t>
  </si>
  <si>
    <t>ENSG00000134323.12</t>
  </si>
  <si>
    <t>MYCN</t>
  </si>
  <si>
    <t>ENSG00000132031.13</t>
  </si>
  <si>
    <t>MATN3</t>
  </si>
  <si>
    <t>ENSG00000084734.9</t>
  </si>
  <si>
    <t>GCKR</t>
  </si>
  <si>
    <t>ENSG00000163171.7</t>
  </si>
  <si>
    <t>CDC42EP3</t>
  </si>
  <si>
    <t>ENSG00000124374.9</t>
  </si>
  <si>
    <t>PAIP2B</t>
  </si>
  <si>
    <t>ENSG00000135638.13</t>
  </si>
  <si>
    <t>EMX1</t>
  </si>
  <si>
    <t>ENSG00000230964.1</t>
  </si>
  <si>
    <t>AC233266.1</t>
  </si>
  <si>
    <t>ENSG00000261600.1</t>
  </si>
  <si>
    <t>AC233266.2</t>
  </si>
  <si>
    <t>ENSG00000155066.16</t>
  </si>
  <si>
    <t>PROM2</t>
  </si>
  <si>
    <t>ENSG00000115590.14</t>
  </si>
  <si>
    <t>IL1R2</t>
  </si>
  <si>
    <t>ENSG00000115594.12</t>
  </si>
  <si>
    <t>IL1R1</t>
  </si>
  <si>
    <t>ENSG00000115604.10</t>
  </si>
  <si>
    <t>IL18R1</t>
  </si>
  <si>
    <t>ENSG00000115641.19</t>
  </si>
  <si>
    <t>FHL2</t>
  </si>
  <si>
    <t>ENSG00000225328.1</t>
  </si>
  <si>
    <t>LINC01594</t>
  </si>
  <si>
    <t>ENSG00000279227.1</t>
  </si>
  <si>
    <t>AC009303.4</t>
  </si>
  <si>
    <t>ENSG00000136717.15</t>
  </si>
  <si>
    <t>BIN1</t>
  </si>
  <si>
    <t>ENSG00000123609.10</t>
  </si>
  <si>
    <t>NMI</t>
  </si>
  <si>
    <t>ENSG00000182263.14</t>
  </si>
  <si>
    <t>FIGN</t>
  </si>
  <si>
    <t>ENSG00000169507.9</t>
  </si>
  <si>
    <t>SLC38A11</t>
  </si>
  <si>
    <t>ENSG00000115840.14</t>
  </si>
  <si>
    <t>SLC25A12</t>
  </si>
  <si>
    <t>ENSG00000144355.15</t>
  </si>
  <si>
    <t>DLX1</t>
  </si>
  <si>
    <t>ENSG00000213963.6</t>
  </si>
  <si>
    <t>AC019080.1</t>
  </si>
  <si>
    <t>ENSG00000128655.18</t>
  </si>
  <si>
    <t>PDE11A</t>
  </si>
  <si>
    <t>ENSG00000118257.16</t>
  </si>
  <si>
    <t>NRP2</t>
  </si>
  <si>
    <t>ENSG00000114948.13</t>
  </si>
  <si>
    <t>ADAM23</t>
  </si>
  <si>
    <t>ENSG00000115457.10</t>
  </si>
  <si>
    <t>IGFBP2</t>
  </si>
  <si>
    <t>ENSG00000127824.14</t>
  </si>
  <si>
    <t>TUBA4A</t>
  </si>
  <si>
    <t>ENSG00000124003.12</t>
  </si>
  <si>
    <t>MOGAT1</t>
  </si>
  <si>
    <t>ENSG00000153823.18</t>
  </si>
  <si>
    <t>PID1</t>
  </si>
  <si>
    <t>ENSG00000163273.4</t>
  </si>
  <si>
    <t>NPPC</t>
  </si>
  <si>
    <t>ENSG00000115468.12</t>
  </si>
  <si>
    <t>EFHD1</t>
  </si>
  <si>
    <t>ENSG00000222001.2</t>
  </si>
  <si>
    <t>AC106876.1</t>
  </si>
  <si>
    <t>ENSG00000186235.10</t>
  </si>
  <si>
    <t>LINC02610</t>
  </si>
  <si>
    <t>ENSG00000162804.14</t>
  </si>
  <si>
    <t>SNED1</t>
  </si>
  <si>
    <t>ENSG00000196220.16</t>
  </si>
  <si>
    <t>SRGAP3</t>
  </si>
  <si>
    <t>ENSG00000134070.5</t>
  </si>
  <si>
    <t>IRAK2</t>
  </si>
  <si>
    <t>ENSG00000157087.19</t>
  </si>
  <si>
    <t>ATP2B2</t>
  </si>
  <si>
    <t>ENSG00000132170.21</t>
  </si>
  <si>
    <t>PPARG</t>
  </si>
  <si>
    <t>ENSG00000154822.18</t>
  </si>
  <si>
    <t>PLCL2</t>
  </si>
  <si>
    <t>ENSG00000151789.12</t>
  </si>
  <si>
    <t>ZNF385D</t>
  </si>
  <si>
    <t>ENSG00000163508.12</t>
  </si>
  <si>
    <t>EOMES</t>
  </si>
  <si>
    <t>ENSG00000187091.13</t>
  </si>
  <si>
    <t>PLCD1</t>
  </si>
  <si>
    <t>ENSG00000249992.1</t>
  </si>
  <si>
    <t>TMEM158</t>
  </si>
  <si>
    <t>ENSG00000185614.5</t>
  </si>
  <si>
    <t>INKA1</t>
  </si>
  <si>
    <t>ENSG00000168306.13</t>
  </si>
  <si>
    <t>ACOX2</t>
  </si>
  <si>
    <t>ENSG00000163637.13</t>
  </si>
  <si>
    <t>PRICKLE2</t>
  </si>
  <si>
    <t>ENSG00000243083.6</t>
  </si>
  <si>
    <t>LINC00870</t>
  </si>
  <si>
    <t>ENSG00000242741.1</t>
  </si>
  <si>
    <t>LINC02005</t>
  </si>
  <si>
    <t>ENSG00000240241.5</t>
  </si>
  <si>
    <t>AC108752.1</t>
  </si>
  <si>
    <t>ENSG00000206712.1</t>
  </si>
  <si>
    <t>RNU6-26P</t>
  </si>
  <si>
    <t>ENSG00000206535.8</t>
  </si>
  <si>
    <t>LNP1</t>
  </si>
  <si>
    <t>ENSG00000243701.6</t>
  </si>
  <si>
    <t>DUBR</t>
  </si>
  <si>
    <t>ENSG00000121552.4</t>
  </si>
  <si>
    <t>CSTA</t>
  </si>
  <si>
    <t>ENSG00000273033.2</t>
  </si>
  <si>
    <t>LINC02035</t>
  </si>
  <si>
    <t>ENSG00000173702.7</t>
  </si>
  <si>
    <t>MUC13</t>
  </si>
  <si>
    <t>ENSG00000144908.13</t>
  </si>
  <si>
    <t>ALDH1L1</t>
  </si>
  <si>
    <t>ENSG00000172771.12</t>
  </si>
  <si>
    <t>EFCAB12</t>
  </si>
  <si>
    <t>ENSG00000114698.15</t>
  </si>
  <si>
    <t>PLSCR4</t>
  </si>
  <si>
    <t>ENSG00000243885.1</t>
  </si>
  <si>
    <t>AC108751.4</t>
  </si>
  <si>
    <t>ENSG00000206199.10</t>
  </si>
  <si>
    <t>ANKUB1</t>
  </si>
  <si>
    <t>ENSG00000163590.14</t>
  </si>
  <si>
    <t>PPM1L</t>
  </si>
  <si>
    <t>ENSG00000163581.14</t>
  </si>
  <si>
    <t>SLC2A2</t>
  </si>
  <si>
    <t>ENSG00000121858.11</t>
  </si>
  <si>
    <t>TNFSF10</t>
  </si>
  <si>
    <t>ENSG00000058866.15</t>
  </si>
  <si>
    <t>DGKG</t>
  </si>
  <si>
    <t>ENSG00000145012.13</t>
  </si>
  <si>
    <t>LPP</t>
  </si>
  <si>
    <t>ENSG00000247624.6</t>
  </si>
  <si>
    <t>CPEB2-DT</t>
  </si>
  <si>
    <t>ENSG00000007062.11</t>
  </si>
  <si>
    <t>PROM1</t>
  </si>
  <si>
    <t>ENSG00000281501.1</t>
  </si>
  <si>
    <t>SEPSECS-AS1</t>
  </si>
  <si>
    <t>ENSG00000162840.4</t>
  </si>
  <si>
    <t>MT2P1</t>
  </si>
  <si>
    <t>ENSG00000156096.14</t>
  </si>
  <si>
    <t>UGT2B4</t>
  </si>
  <si>
    <t>ENSG00000109205.16</t>
  </si>
  <si>
    <t>ODAM</t>
  </si>
  <si>
    <t>ENSG00000163738.18</t>
  </si>
  <si>
    <t>MTHFD2L</t>
  </si>
  <si>
    <t>ENSG00000145287.10</t>
  </si>
  <si>
    <t>PLAC8</t>
  </si>
  <si>
    <t>ENSG00000198189.11</t>
  </si>
  <si>
    <t>HSD17B11</t>
  </si>
  <si>
    <t>ENSG00000274238.1</t>
  </si>
  <si>
    <t>AC097478.2</t>
  </si>
  <si>
    <t>ENSG00000198099.8</t>
  </si>
  <si>
    <t>ADH4</t>
  </si>
  <si>
    <t>ENSG00000138823.13</t>
  </si>
  <si>
    <t>MTTP</t>
  </si>
  <si>
    <t>ENSG00000164038.15</t>
  </si>
  <si>
    <t>SLC9B2</t>
  </si>
  <si>
    <t>ENSG00000170522.9</t>
  </si>
  <si>
    <t>ELOVL6</t>
  </si>
  <si>
    <t>ENSG00000174749.6</t>
  </si>
  <si>
    <t>FAM241A</t>
  </si>
  <si>
    <t>ENSG00000145384.3</t>
  </si>
  <si>
    <t>FABP2</t>
  </si>
  <si>
    <t>ENSG00000164109.14</t>
  </si>
  <si>
    <t>MAD2L1</t>
  </si>
  <si>
    <t>ENSG00000164142.16</t>
  </si>
  <si>
    <t>FAM160A1</t>
  </si>
  <si>
    <t>ENSG00000171564.11</t>
  </si>
  <si>
    <t>FGB</t>
  </si>
  <si>
    <t>ENSG00000171560.15</t>
  </si>
  <si>
    <t>FGA</t>
  </si>
  <si>
    <t>ENSG00000171557.16</t>
  </si>
  <si>
    <t>FGG</t>
  </si>
  <si>
    <t>ENSG00000168843.14</t>
  </si>
  <si>
    <t>FSTL5</t>
  </si>
  <si>
    <t>ENSG00000198948.12</t>
  </si>
  <si>
    <t>MFAP3L</t>
  </si>
  <si>
    <t>ENSG00000066230.11</t>
  </si>
  <si>
    <t>SLC9A3</t>
  </si>
  <si>
    <t>ENSG00000225138.7</t>
  </si>
  <si>
    <t>SLC9A3-AS1</t>
  </si>
  <si>
    <t>ENSG00000174358.16</t>
  </si>
  <si>
    <t>SLC6A19</t>
  </si>
  <si>
    <t>ENSG00000145545.12</t>
  </si>
  <si>
    <t>SRD5A1</t>
  </si>
  <si>
    <t>ENSG00000145569.6</t>
  </si>
  <si>
    <t>OTULINL</t>
  </si>
  <si>
    <t>ENSG00000040731.10</t>
  </si>
  <si>
    <t>CDH10</t>
  </si>
  <si>
    <t>ENSG00000145604.15</t>
  </si>
  <si>
    <t>SKP2</t>
  </si>
  <si>
    <t>ENSG00000248461.2</t>
  </si>
  <si>
    <t>LINC02119</t>
  </si>
  <si>
    <t>ENSG00000251257.2</t>
  </si>
  <si>
    <t>AC010457.1</t>
  </si>
  <si>
    <t>ENSG00000132357.14</t>
  </si>
  <si>
    <t>CARD6</t>
  </si>
  <si>
    <t>ENSG00000083720.13</t>
  </si>
  <si>
    <t>OXCT1</t>
  </si>
  <si>
    <t>ENSG00000251141.5</t>
  </si>
  <si>
    <t>MRPS30-DT</t>
  </si>
  <si>
    <t>ENSG00000152931.7</t>
  </si>
  <si>
    <t>PART1</t>
  </si>
  <si>
    <t>ENSG00000049192.15</t>
  </si>
  <si>
    <t>ADAMTS6</t>
  </si>
  <si>
    <t>ENSG00000271926.1</t>
  </si>
  <si>
    <t>AC008972.1</t>
  </si>
  <si>
    <t>ENSG00000272081.1</t>
  </si>
  <si>
    <t>AC008972.2</t>
  </si>
  <si>
    <t>ENSG00000251467.1</t>
  </si>
  <si>
    <t>AC020893.2</t>
  </si>
  <si>
    <t>ENSG00000214944.9</t>
  </si>
  <si>
    <t>ARHGEF28</t>
  </si>
  <si>
    <t>ENSG00000132840.10</t>
  </si>
  <si>
    <t>BHMT2</t>
  </si>
  <si>
    <t>ENSG00000145692.15</t>
  </si>
  <si>
    <t>BHMT</t>
  </si>
  <si>
    <t>ENSG00000251348.1</t>
  </si>
  <si>
    <t>HSPD1P11</t>
  </si>
  <si>
    <t>ENSG00000138829.12</t>
  </si>
  <si>
    <t>FBN2</t>
  </si>
  <si>
    <t>ENSG00000164616.16</t>
  </si>
  <si>
    <t>FBXL21P</t>
  </si>
  <si>
    <t>ENSG00000113108.19</t>
  </si>
  <si>
    <t>APBB3</t>
  </si>
  <si>
    <t>ENSG00000156463.18</t>
  </si>
  <si>
    <t>SH3RF2</t>
  </si>
  <si>
    <t>ENSG00000164266.10</t>
  </si>
  <si>
    <t>SPINK1</t>
  </si>
  <si>
    <t>ENSG00000169252.5</t>
  </si>
  <si>
    <t>ADRB2</t>
  </si>
  <si>
    <t>ENSG00000157510.14</t>
  </si>
  <si>
    <t>AFAP1L1</t>
  </si>
  <si>
    <t>ENSG00000113721.14</t>
  </si>
  <si>
    <t>PDGFRB</t>
  </si>
  <si>
    <t>ENSG00000196743.8</t>
  </si>
  <si>
    <t>GM2A</t>
  </si>
  <si>
    <t>ENSG00000113140.11</t>
  </si>
  <si>
    <t>SPARC</t>
  </si>
  <si>
    <t>ENSG00000113249.12</t>
  </si>
  <si>
    <t>HAVCR1</t>
  </si>
  <si>
    <t>ENSG00000253522.6</t>
  </si>
  <si>
    <t>MIR3142HG</t>
  </si>
  <si>
    <t>ENSG00000254186.2</t>
  </si>
  <si>
    <t>AC113414.1</t>
  </si>
  <si>
    <t>ENSG00000145920.15</t>
  </si>
  <si>
    <t>CPLX2</t>
  </si>
  <si>
    <t>ENSG00000074276.10</t>
  </si>
  <si>
    <t>CDHR2</t>
  </si>
  <si>
    <t>ENSG00000204661.9</t>
  </si>
  <si>
    <t>C5orf60</t>
  </si>
  <si>
    <t>ENSG00000137273.5</t>
  </si>
  <si>
    <t>FOXF2</t>
  </si>
  <si>
    <t>ENSG00000260604.2</t>
  </si>
  <si>
    <t>AL590004.3</t>
  </si>
  <si>
    <t>ENSG00000124787.13</t>
  </si>
  <si>
    <t>RPP40</t>
  </si>
  <si>
    <t>ENSG00000078401.7</t>
  </si>
  <si>
    <t>EDN1</t>
  </si>
  <si>
    <t>ENSG00000112183.15</t>
  </si>
  <si>
    <t>RBM24</t>
  </si>
  <si>
    <t>ENSG00000112186.12</t>
  </si>
  <si>
    <t>CAP2</t>
  </si>
  <si>
    <t>ENSG00000079689.14</t>
  </si>
  <si>
    <t>SCGN</t>
  </si>
  <si>
    <t>ENSG00000124568.10</t>
  </si>
  <si>
    <t>SLC17A1</t>
  </si>
  <si>
    <t>ENSG00000272462.2</t>
  </si>
  <si>
    <t>U91328.1</t>
  </si>
  <si>
    <t>ENSG00000010704.18</t>
  </si>
  <si>
    <t>HFE</t>
  </si>
  <si>
    <t>ENSG00000111801.16</t>
  </si>
  <si>
    <t>BTN3A3</t>
  </si>
  <si>
    <t>ENSG00000204681.11</t>
  </si>
  <si>
    <t>GABBR1</t>
  </si>
  <si>
    <t>ENSG00000204618.8</t>
  </si>
  <si>
    <t>RNF39</t>
  </si>
  <si>
    <t>ENSG00000204616.11</t>
  </si>
  <si>
    <t>TRIM31</t>
  </si>
  <si>
    <t>ENSG00000204613.11</t>
  </si>
  <si>
    <t>TRIM10</t>
  </si>
  <si>
    <t>ENSG00000204610.13</t>
  </si>
  <si>
    <t>TRIM15</t>
  </si>
  <si>
    <t>ENSG00000204444.11</t>
  </si>
  <si>
    <t>APOM</t>
  </si>
  <si>
    <t>ENSG00000225339.3</t>
  </si>
  <si>
    <t>AL354740.1</t>
  </si>
  <si>
    <t>ENSG00000010030.14</t>
  </si>
  <si>
    <t>ETV7</t>
  </si>
  <si>
    <t>ENSG00000112078.14</t>
  </si>
  <si>
    <t>KCTD20</t>
  </si>
  <si>
    <t>ENSG00000137193.14</t>
  </si>
  <si>
    <t>PIM1</t>
  </si>
  <si>
    <t>ENSG00000112559.14</t>
  </si>
  <si>
    <t>MDFI</t>
  </si>
  <si>
    <t>ENSG00000146215.13</t>
  </si>
  <si>
    <t>CRIP3</t>
  </si>
  <si>
    <t>ENSG00000112818.10</t>
  </si>
  <si>
    <t>MEP1A</t>
  </si>
  <si>
    <t>ENSG00000243955.6</t>
  </si>
  <si>
    <t>GSTA1</t>
  </si>
  <si>
    <t>ENSG00000156535.15</t>
  </si>
  <si>
    <t>CD109</t>
  </si>
  <si>
    <t>ENSG00000234155.1</t>
  </si>
  <si>
    <t>LINC02535</t>
  </si>
  <si>
    <t>ENSG00000203809.6</t>
  </si>
  <si>
    <t>LIN28B-AS1</t>
  </si>
  <si>
    <t>ENSG00000187772.8</t>
  </si>
  <si>
    <t>LIN28B</t>
  </si>
  <si>
    <t>ENSG00000111912.20</t>
  </si>
  <si>
    <t>NCOA7</t>
  </si>
  <si>
    <t>ENSG00000118523.6</t>
  </si>
  <si>
    <t>CCN2</t>
  </si>
  <si>
    <t>ENSG00000118515.11</t>
  </si>
  <si>
    <t>SGK1</t>
  </si>
  <si>
    <t>ENSG00000118503.15</t>
  </si>
  <si>
    <t>TNFAIP3</t>
  </si>
  <si>
    <t>ENSG00000112379.9</t>
  </si>
  <si>
    <t>ARFGEF3</t>
  </si>
  <si>
    <t>ENSG00000178199.13</t>
  </si>
  <si>
    <t>ZC3H12D</t>
  </si>
  <si>
    <t>ENSG00000272841.1</t>
  </si>
  <si>
    <t>AL139393.2</t>
  </si>
  <si>
    <t>ENSG00000112486.16</t>
  </si>
  <si>
    <t>CCR6</t>
  </si>
  <si>
    <t>ENSG00000272549.1</t>
  </si>
  <si>
    <t>LINC02538</t>
  </si>
  <si>
    <t>ENSG00000203688.5</t>
  </si>
  <si>
    <t>LINC02487</t>
  </si>
  <si>
    <t>ENSG00000198221.8</t>
  </si>
  <si>
    <t>AFDN-DT</t>
  </si>
  <si>
    <t>ENSG00000224417.2</t>
  </si>
  <si>
    <t>AL606970.1</t>
  </si>
  <si>
    <t>ENSG00000164850.15</t>
  </si>
  <si>
    <t>GPER1</t>
  </si>
  <si>
    <t>ENSG00000244167.1</t>
  </si>
  <si>
    <t>AC005532.2</t>
  </si>
  <si>
    <t>ENSG00000106541.12</t>
  </si>
  <si>
    <t>AGR2</t>
  </si>
  <si>
    <t>ENSG00000164649.20</t>
  </si>
  <si>
    <t>CDCA7L</t>
  </si>
  <si>
    <t>ENSG00000146592.17</t>
  </si>
  <si>
    <t>CREB5</t>
  </si>
  <si>
    <t>ENSG00000106066.15</t>
  </si>
  <si>
    <t>CPVL</t>
  </si>
  <si>
    <t>ENSG00000106483.12</t>
  </si>
  <si>
    <t>SFRP4</t>
  </si>
  <si>
    <t>ENSG00000164742.16</t>
  </si>
  <si>
    <t>ADCY1</t>
  </si>
  <si>
    <t>ENSG00000146678.10</t>
  </si>
  <si>
    <t>IGFBP1</t>
  </si>
  <si>
    <t>ENSG00000132437.18</t>
  </si>
  <si>
    <t>DDC</t>
  </si>
  <si>
    <t>ENSG00000224057.1</t>
  </si>
  <si>
    <t>EGFR-AS1</t>
  </si>
  <si>
    <t>ENSG00000226767.1</t>
  </si>
  <si>
    <t>AC114501.1</t>
  </si>
  <si>
    <t>ENSG00000188763.4</t>
  </si>
  <si>
    <t>FZD9</t>
  </si>
  <si>
    <t>ENSG00000176428.6</t>
  </si>
  <si>
    <t>VPS37D</t>
  </si>
  <si>
    <t>ENSG00000135218.19</t>
  </si>
  <si>
    <t>CD36</t>
  </si>
  <si>
    <t>ENSG00000186472.20</t>
  </si>
  <si>
    <t>PCLO</t>
  </si>
  <si>
    <t>ENSG00000005471.17</t>
  </si>
  <si>
    <t>ABCB4</t>
  </si>
  <si>
    <t>ENSG00000085563.14</t>
  </si>
  <si>
    <t>ABCB1</t>
  </si>
  <si>
    <t>ENSG00000005981.13</t>
  </si>
  <si>
    <t>ASB4</t>
  </si>
  <si>
    <t>ENSG00000021461.16</t>
  </si>
  <si>
    <t>CYP3A43</t>
  </si>
  <si>
    <t>ENSG00000087085.15</t>
  </si>
  <si>
    <t>ACHE</t>
  </si>
  <si>
    <t>ENSG00000128564.7</t>
  </si>
  <si>
    <t>VGF</t>
  </si>
  <si>
    <t>ENSG00000135272.10</t>
  </si>
  <si>
    <t>MDFIC</t>
  </si>
  <si>
    <t>ENSG00000105971.15</t>
  </si>
  <si>
    <t>CAV2</t>
  </si>
  <si>
    <t>ENSG00000105976.15</t>
  </si>
  <si>
    <t>MET</t>
  </si>
  <si>
    <t>ENSG00000280828.1</t>
  </si>
  <si>
    <t>AC090114.3</t>
  </si>
  <si>
    <t>ENSG00000122787.15</t>
  </si>
  <si>
    <t>AKR1D1</t>
  </si>
  <si>
    <t>ENSG00000204947.9</t>
  </si>
  <si>
    <t>ZNF425</t>
  </si>
  <si>
    <t>ENSG00000181444.13</t>
  </si>
  <si>
    <t>ZNF467</t>
  </si>
  <si>
    <t>ENSG00000204876.4</t>
  </si>
  <si>
    <t>AC021218.1</t>
  </si>
  <si>
    <t>ENSG00000279852.1</t>
  </si>
  <si>
    <t>AC083964.2</t>
  </si>
  <si>
    <t>ENSG00000173281.5</t>
  </si>
  <si>
    <t>PPP1R3B</t>
  </si>
  <si>
    <t>ENSG00000197181.12</t>
  </si>
  <si>
    <t>PIWIL2</t>
  </si>
  <si>
    <t>ENSG00000104635.14</t>
  </si>
  <si>
    <t>SLC39A14</t>
  </si>
  <si>
    <t>ENSG00000245025.2</t>
  </si>
  <si>
    <t>AC107959.1</t>
  </si>
  <si>
    <t>ENSG00000092964.18</t>
  </si>
  <si>
    <t>DPYSL2</t>
  </si>
  <si>
    <t>ENSG00000120915.13</t>
  </si>
  <si>
    <t>EPHX2</t>
  </si>
  <si>
    <t>ENSG00000168077.14</t>
  </si>
  <si>
    <t>SCARA3</t>
  </si>
  <si>
    <t>ENSG00000169499.15</t>
  </si>
  <si>
    <t>PLEKHA2</t>
  </si>
  <si>
    <t>ENSG00000176907.4</t>
  </si>
  <si>
    <t>TCIM</t>
  </si>
  <si>
    <t>ENSG00000104371.5</t>
  </si>
  <si>
    <t>DKK4</t>
  </si>
  <si>
    <t>ENSG00000137561.4</t>
  </si>
  <si>
    <t>TTPA</t>
  </si>
  <si>
    <t>ENSG00000172817.4</t>
  </si>
  <si>
    <t>CYP7B1</t>
  </si>
  <si>
    <t>ENSG00000253190.3</t>
  </si>
  <si>
    <t>AC084082.1</t>
  </si>
  <si>
    <t>ENSG00000147573.17</t>
  </si>
  <si>
    <t>TRIM55</t>
  </si>
  <si>
    <t>ENSG00000253598.1</t>
  </si>
  <si>
    <t>SLC10A5</t>
  </si>
  <si>
    <t>ENSG00000175305.17</t>
  </si>
  <si>
    <t>CCNE2</t>
  </si>
  <si>
    <t>ENSG00000168672.4</t>
  </si>
  <si>
    <t>FAM84B</t>
  </si>
  <si>
    <t>ENSG00000282164.3</t>
  </si>
  <si>
    <t>PEG13</t>
  </si>
  <si>
    <t>ENSG00000182759.3</t>
  </si>
  <si>
    <t>MAFA</t>
  </si>
  <si>
    <t>ENSG00000261150.2</t>
  </si>
  <si>
    <t>EPPK1</t>
  </si>
  <si>
    <t>ENSG00000137033.11</t>
  </si>
  <si>
    <t>IL33</t>
  </si>
  <si>
    <t>ENSG00000236924.1</t>
  </si>
  <si>
    <t>AL162411.1</t>
  </si>
  <si>
    <t>ENSG00000164946.19</t>
  </si>
  <si>
    <t>FREM1</t>
  </si>
  <si>
    <t>ENSG00000285911.1</t>
  </si>
  <si>
    <t>AL391834.3</t>
  </si>
  <si>
    <t>ENSG00000168913.7</t>
  </si>
  <si>
    <t>ENHO</t>
  </si>
  <si>
    <t>ENSG00000230074.1</t>
  </si>
  <si>
    <t>AL162231.2</t>
  </si>
  <si>
    <t>ENSG00000137094.14</t>
  </si>
  <si>
    <t>DNAJB5</t>
  </si>
  <si>
    <t>ENSG00000122694.16</t>
  </si>
  <si>
    <t>GLIPR2</t>
  </si>
  <si>
    <t>ENSG00000231527.6</t>
  </si>
  <si>
    <t>FAM27C</t>
  </si>
  <si>
    <t>ENSG00000232815.1</t>
  </si>
  <si>
    <t>DUX4L50</t>
  </si>
  <si>
    <t>ENSG00000276386.1</t>
  </si>
  <si>
    <t>CNTNAP3P2</t>
  </si>
  <si>
    <t>ENSG00000107242.18</t>
  </si>
  <si>
    <t>PIP5K1B</t>
  </si>
  <si>
    <t>ENSG00000165060.13</t>
  </si>
  <si>
    <t>FXN</t>
  </si>
  <si>
    <t>ENSG00000119139.19</t>
  </si>
  <si>
    <t>TJP2</t>
  </si>
  <si>
    <t>ENSG00000119125.16</t>
  </si>
  <si>
    <t>GDA</t>
  </si>
  <si>
    <t>ENSG00000213694.5</t>
  </si>
  <si>
    <t>S1PR3</t>
  </si>
  <si>
    <t>ENSG00000185920.15</t>
  </si>
  <si>
    <t>PTCH1</t>
  </si>
  <si>
    <t>ENSG00000148123.15</t>
  </si>
  <si>
    <t>PLPPR1</t>
  </si>
  <si>
    <t>ENSG00000188959.9</t>
  </si>
  <si>
    <t>C9orf152</t>
  </si>
  <si>
    <t>ENSG00000136883.14</t>
  </si>
  <si>
    <t>KIF12</t>
  </si>
  <si>
    <t>ENSG00000095397.14</t>
  </si>
  <si>
    <t>WHRN</t>
  </si>
  <si>
    <t>ENSG00000182752.10</t>
  </si>
  <si>
    <t>PAPPA</t>
  </si>
  <si>
    <t>ENSG00000136854.21</t>
  </si>
  <si>
    <t>STXBP1</t>
  </si>
  <si>
    <t>ENSG00000148357.16</t>
  </si>
  <si>
    <t>HMCN2</t>
  </si>
  <si>
    <t>ENSG00000197859.10</t>
  </si>
  <si>
    <t>ADAMTSL2</t>
  </si>
  <si>
    <t>ENSG00000197191.5</t>
  </si>
  <si>
    <t>CYSRT1</t>
  </si>
  <si>
    <t>ENSG00000198435.4</t>
  </si>
  <si>
    <t>NRARP</t>
  </si>
  <si>
    <t>ENSG00000134470.21</t>
  </si>
  <si>
    <t>IL15RA</t>
  </si>
  <si>
    <t>ENSG00000151468.11</t>
  </si>
  <si>
    <t>CCDC3</t>
  </si>
  <si>
    <t>ENSG00000165985.10</t>
  </si>
  <si>
    <t>C1QL3</t>
  </si>
  <si>
    <t>ENSG00000180592.16</t>
  </si>
  <si>
    <t>SKIDA1</t>
  </si>
  <si>
    <t>ENSG00000150175.13</t>
  </si>
  <si>
    <t>FRMPD2B</t>
  </si>
  <si>
    <t>ENSG00000128805.14</t>
  </si>
  <si>
    <t>ARHGAP22</t>
  </si>
  <si>
    <t>ENSG00000156510.13</t>
  </si>
  <si>
    <t>HKDC1</t>
  </si>
  <si>
    <t>ENSG00000107719.9</t>
  </si>
  <si>
    <t>PALD1</t>
  </si>
  <si>
    <t>ENSG00000138308.5</t>
  </si>
  <si>
    <t>PLA2G12B</t>
  </si>
  <si>
    <t>ENSG00000270002.1</t>
  </si>
  <si>
    <t>AC022028.2</t>
  </si>
  <si>
    <t>ENSG00000198682.13</t>
  </si>
  <si>
    <t>PAPSS2</t>
  </si>
  <si>
    <t>ENSG00000227268.3</t>
  </si>
  <si>
    <t>KLLN</t>
  </si>
  <si>
    <t>ENSG00000138134.12</t>
  </si>
  <si>
    <t>STAMBPL1</t>
  </si>
  <si>
    <t>ENSG00000119917.14</t>
  </si>
  <si>
    <t>IFIT3</t>
  </si>
  <si>
    <t>ENSG00000224750.6</t>
  </si>
  <si>
    <t>AL391704.1</t>
  </si>
  <si>
    <t>ENSG00000095596.12</t>
  </si>
  <si>
    <t>CYP26A1</t>
  </si>
  <si>
    <t>ENSG00000280660.1</t>
  </si>
  <si>
    <t>AL157396.1</t>
  </si>
  <si>
    <t>ENSG00000095713.14</t>
  </si>
  <si>
    <t>CRTAC1</t>
  </si>
  <si>
    <t>ENSG00000119915.5</t>
  </si>
  <si>
    <t>ELOVL3</t>
  </si>
  <si>
    <t>ENSG00000059915.17</t>
  </si>
  <si>
    <t>PSD</t>
  </si>
  <si>
    <t>ENSG00000066468.22</t>
  </si>
  <si>
    <t>FGFR2</t>
  </si>
  <si>
    <t>ENSG00000188620.10</t>
  </si>
  <si>
    <t>HMX3</t>
  </si>
  <si>
    <t>ENSG00000151640.13</t>
  </si>
  <si>
    <t>DPYSL4</t>
  </si>
  <si>
    <t>ENSG00000185201.16</t>
  </si>
  <si>
    <t>IFITM2</t>
  </si>
  <si>
    <t>ENSG00000142089.16</t>
  </si>
  <si>
    <t>IFITM3</t>
  </si>
  <si>
    <t>ENSG00000270030.1</t>
  </si>
  <si>
    <t>AC136475.7</t>
  </si>
  <si>
    <t>ENSG00000255328.1</t>
  </si>
  <si>
    <t>AC136475.5</t>
  </si>
  <si>
    <t>ENSG00000133812.15</t>
  </si>
  <si>
    <t>SBF2</t>
  </si>
  <si>
    <t>ENSG00000148935.11</t>
  </si>
  <si>
    <t>GAS2</t>
  </si>
  <si>
    <t>ENSG00000198168.9</t>
  </si>
  <si>
    <t>SVIP</t>
  </si>
  <si>
    <t>ENSG00000135362.14</t>
  </si>
  <si>
    <t>PRR5L</t>
  </si>
  <si>
    <t>ENSG00000157570.11</t>
  </si>
  <si>
    <t>TSPAN18</t>
  </si>
  <si>
    <t>ENSG00000149131.15</t>
  </si>
  <si>
    <t>SERPING1</t>
  </si>
  <si>
    <t>ENSG00000243742.5</t>
  </si>
  <si>
    <t>RPLP0P2</t>
  </si>
  <si>
    <t>ENSG00000197847.12</t>
  </si>
  <si>
    <t>SLC22A20P</t>
  </si>
  <si>
    <t>ENSG00000245532.8</t>
  </si>
  <si>
    <t>NEAT1</t>
  </si>
  <si>
    <t>ENSG00000179292.5</t>
  </si>
  <si>
    <t>TMEM151A</t>
  </si>
  <si>
    <t>ENSG00000186642.16</t>
  </si>
  <si>
    <t>PDE2A</t>
  </si>
  <si>
    <t>ENSG00000171631.14</t>
  </si>
  <si>
    <t>P2RY6</t>
  </si>
  <si>
    <t>ENSG00000021300.14</t>
  </si>
  <si>
    <t>PLEKHB1</t>
  </si>
  <si>
    <t>ENSG00000175538.10</t>
  </si>
  <si>
    <t>KCNE3</t>
  </si>
  <si>
    <t>ENSG00000137491.14</t>
  </si>
  <si>
    <t>SLCO2B1</t>
  </si>
  <si>
    <t>ENSG00000077616.11</t>
  </si>
  <si>
    <t>NAALAD2</t>
  </si>
  <si>
    <t>ENSG00000149212.11</t>
  </si>
  <si>
    <t>SESN3</t>
  </si>
  <si>
    <t>ENSG00000214290.8</t>
  </si>
  <si>
    <t>COLCA2</t>
  </si>
  <si>
    <t>ENSG00000110244.7</t>
  </si>
  <si>
    <t>APOA4</t>
  </si>
  <si>
    <t>ENSG00000186318.16</t>
  </si>
  <si>
    <t>BACE1</t>
  </si>
  <si>
    <t>ENSG00000177103.14</t>
  </si>
  <si>
    <t>DSCAML1</t>
  </si>
  <si>
    <t>ENSG00000177098.8</t>
  </si>
  <si>
    <t>SCN4B</t>
  </si>
  <si>
    <t>ENSG00000137699.17</t>
  </si>
  <si>
    <t>TRIM29</t>
  </si>
  <si>
    <t>ENSG00000137642.13</t>
  </si>
  <si>
    <t>SORL1</t>
  </si>
  <si>
    <t>ENSG00000166257.8</t>
  </si>
  <si>
    <t>SCN3B</t>
  </si>
  <si>
    <t>ENSG00000110002.15</t>
  </si>
  <si>
    <t>VWA5A</t>
  </si>
  <si>
    <t>ENSG00000154133.14</t>
  </si>
  <si>
    <t>ROBO4</t>
  </si>
  <si>
    <t>ENSG00000255062.1</t>
  </si>
  <si>
    <t>AP001318.2</t>
  </si>
  <si>
    <t>ENSG00000109956.13</t>
  </si>
  <si>
    <t>B3GAT1</t>
  </si>
  <si>
    <t>ENSG00000139044.11</t>
  </si>
  <si>
    <t>B4GALNT3</t>
  </si>
  <si>
    <t>ENSG00000250770.3</t>
  </si>
  <si>
    <t>AC005865.2</t>
  </si>
  <si>
    <t>ENSG00000175899.14</t>
  </si>
  <si>
    <t>A2M</t>
  </si>
  <si>
    <t>ENSG00000245648.1</t>
  </si>
  <si>
    <t>AC022075.1</t>
  </si>
  <si>
    <t>ENSG00000013588.8</t>
  </si>
  <si>
    <t>GPRC5A</t>
  </si>
  <si>
    <t>ENSG00000111339.12</t>
  </si>
  <si>
    <t>ART4</t>
  </si>
  <si>
    <t>ENSG00000008394.13</t>
  </si>
  <si>
    <t>MGST1</t>
  </si>
  <si>
    <t>ENSG00000255745.1</t>
  </si>
  <si>
    <t>AC023796.1</t>
  </si>
  <si>
    <t>ENSG00000060982.15</t>
  </si>
  <si>
    <t>BCAT1</t>
  </si>
  <si>
    <t>ENSG00000246695.7</t>
  </si>
  <si>
    <t>RASSF8-AS1</t>
  </si>
  <si>
    <t>ENSG00000123095.6</t>
  </si>
  <si>
    <t>BHLHE41</t>
  </si>
  <si>
    <t>ENSG00000133687.16</t>
  </si>
  <si>
    <t>TMTC1</t>
  </si>
  <si>
    <t>ENSG00000110900.15</t>
  </si>
  <si>
    <t>TSPAN11</t>
  </si>
  <si>
    <t>ENSG00000151746.14</t>
  </si>
  <si>
    <t>BICD1</t>
  </si>
  <si>
    <t>ENSG00000018236.15</t>
  </si>
  <si>
    <t>CNTN1</t>
  </si>
  <si>
    <t>ENSG00000258057.5</t>
  </si>
  <si>
    <t>BCDIN3D-AS1</t>
  </si>
  <si>
    <t>ENSG00000167588.13</t>
  </si>
  <si>
    <t>GPD1</t>
  </si>
  <si>
    <t>ENSG00000261308.2</t>
  </si>
  <si>
    <t>FIGNL2</t>
  </si>
  <si>
    <t>ENSG00000167780.12</t>
  </si>
  <si>
    <t>SOAT2</t>
  </si>
  <si>
    <t>ENSG00000170439.7</t>
  </si>
  <si>
    <t>METTL7B</t>
  </si>
  <si>
    <t>ENSG00000065361.15</t>
  </si>
  <si>
    <t>ERBB3</t>
  </si>
  <si>
    <t>ENSG00000139540.12</t>
  </si>
  <si>
    <t>SLC39A5</t>
  </si>
  <si>
    <t>ENSG00000175336.10</t>
  </si>
  <si>
    <t>APOF</t>
  </si>
  <si>
    <t>ENSG00000182379.10</t>
  </si>
  <si>
    <t>NXPH4</t>
  </si>
  <si>
    <t>ENSG00000175189.4</t>
  </si>
  <si>
    <t>INHBC</t>
  </si>
  <si>
    <t>ENSG00000155980.12</t>
  </si>
  <si>
    <t>KIF5A</t>
  </si>
  <si>
    <t>ENSG00000135454.14</t>
  </si>
  <si>
    <t>B4GALNT1</t>
  </si>
  <si>
    <t>ENSG00000257354.2</t>
  </si>
  <si>
    <t>AC048341.1</t>
  </si>
  <si>
    <t>ENSG00000174099.11</t>
  </si>
  <si>
    <t>MSRB3</t>
  </si>
  <si>
    <t>ENSG00000165891.16</t>
  </si>
  <si>
    <t>E2F7</t>
  </si>
  <si>
    <t>ENSG00000271614.1</t>
  </si>
  <si>
    <t>ATP2B1-AS1</t>
  </si>
  <si>
    <t>ENSG00000151572.18</t>
  </si>
  <si>
    <t>ANO4</t>
  </si>
  <si>
    <t>ENSG00000166046.11</t>
  </si>
  <si>
    <t>TCP11L2</t>
  </si>
  <si>
    <t>ENSG00000089127.13</t>
  </si>
  <si>
    <t>OAS1</t>
  </si>
  <si>
    <t>ENSG00000088992.18</t>
  </si>
  <si>
    <t>TESC</t>
  </si>
  <si>
    <t>ENSG00000183273.7</t>
  </si>
  <si>
    <t>CCDC60</t>
  </si>
  <si>
    <t>ENSG00000135097.7</t>
  </si>
  <si>
    <t>MSI1</t>
  </si>
  <si>
    <t>ENSG00000182782.7</t>
  </si>
  <si>
    <t>HCAR2</t>
  </si>
  <si>
    <t>ENSG00000196917.5</t>
  </si>
  <si>
    <t>HCAR1</t>
  </si>
  <si>
    <t>ENSG00000256092.2</t>
  </si>
  <si>
    <t>AC137767.1</t>
  </si>
  <si>
    <t>ENSG00000197653.15</t>
  </si>
  <si>
    <t>DNAH10</t>
  </si>
  <si>
    <t>ENSG00000249267.6</t>
  </si>
  <si>
    <t>LINC00939</t>
  </si>
  <si>
    <t>ENSG00000111452.13</t>
  </si>
  <si>
    <t>ADGRD1</t>
  </si>
  <si>
    <t>ENSG00000172458.4</t>
  </si>
  <si>
    <t>IL17D</t>
  </si>
  <si>
    <t>ENSG00000139679.15</t>
  </si>
  <si>
    <t>LPAR6</t>
  </si>
  <si>
    <t>ENSG00000118922.17</t>
  </si>
  <si>
    <t>KLF12</t>
  </si>
  <si>
    <t>ENSG00000125246.15</t>
  </si>
  <si>
    <t>CLYBL</t>
  </si>
  <si>
    <t>ENSG00000165799.5</t>
  </si>
  <si>
    <t>RNASE7</t>
  </si>
  <si>
    <t>ENSG00000157227.13</t>
  </si>
  <si>
    <t>MMP14</t>
  </si>
  <si>
    <t>ENSG00000258474.1</t>
  </si>
  <si>
    <t>LINC02313</t>
  </si>
  <si>
    <t>ENSG00000131981.16</t>
  </si>
  <si>
    <t>LGALS3</t>
  </si>
  <si>
    <t>ENSG00000258592.1</t>
  </si>
  <si>
    <t>AL391152.1</t>
  </si>
  <si>
    <t>ENSG00000232774.7</t>
  </si>
  <si>
    <t>AL355916.1</t>
  </si>
  <si>
    <t>ENSG00000198732.10</t>
  </si>
  <si>
    <t>SMOC1</t>
  </si>
  <si>
    <t>ENSG00000258813.2</t>
  </si>
  <si>
    <t>AL442663.3</t>
  </si>
  <si>
    <t>ENSG00000119630.14</t>
  </si>
  <si>
    <t>PGF</t>
  </si>
  <si>
    <t>ENSG00000156127.6</t>
  </si>
  <si>
    <t>BATF</t>
  </si>
  <si>
    <t>ENSG00000177108.5</t>
  </si>
  <si>
    <t>ZDHHC22</t>
  </si>
  <si>
    <t>ENSG00000185070.11</t>
  </si>
  <si>
    <t>FLRT2</t>
  </si>
  <si>
    <t>ENSG00000100433.15</t>
  </si>
  <si>
    <t>KCNK10</t>
  </si>
  <si>
    <t>ENSG00000140090.17</t>
  </si>
  <si>
    <t>SLC24A4</t>
  </si>
  <si>
    <t>ENSG00000183092.16</t>
  </si>
  <si>
    <t>BEGAIN</t>
  </si>
  <si>
    <t>ENSG00000166165.13</t>
  </si>
  <si>
    <t>CKB</t>
  </si>
  <si>
    <t>ENSG00000185567.7</t>
  </si>
  <si>
    <t>AHNAK2</t>
  </si>
  <si>
    <t>ENSG00000184916.9</t>
  </si>
  <si>
    <t>JAG2</t>
  </si>
  <si>
    <t>ENSG00000259098.1</t>
  </si>
  <si>
    <t>AC025884.2</t>
  </si>
  <si>
    <t>ENSG00000207442.1</t>
  </si>
  <si>
    <t>SNORD116-6</t>
  </si>
  <si>
    <t>ENSG00000137842.7</t>
  </si>
  <si>
    <t>TMEM62</t>
  </si>
  <si>
    <t>ENSG00000140274.13</t>
  </si>
  <si>
    <t>DUOXA2</t>
  </si>
  <si>
    <t>ENSG00000137767.14</t>
  </si>
  <si>
    <t>SQOR</t>
  </si>
  <si>
    <t>ENSG00000274528.1</t>
  </si>
  <si>
    <t>AC090970.2</t>
  </si>
  <si>
    <t>ENSG00000129028.9</t>
  </si>
  <si>
    <t>THAP10</t>
  </si>
  <si>
    <t>ENSG00000260729.1</t>
  </si>
  <si>
    <t>AC009690.1</t>
  </si>
  <si>
    <t>ENSG00000138622.4</t>
  </si>
  <si>
    <t>HCN4</t>
  </si>
  <si>
    <t>ENSG00000129038.16</t>
  </si>
  <si>
    <t>LOXL1</t>
  </si>
  <si>
    <t>ENSG00000169684.13</t>
  </si>
  <si>
    <t>CHRNA5</t>
  </si>
  <si>
    <t>ENSG00000136378.15</t>
  </si>
  <si>
    <t>ADAMTS7</t>
  </si>
  <si>
    <t>ENSG00000172345.14</t>
  </si>
  <si>
    <t>STARD5</t>
  </si>
  <si>
    <t>ENSG00000166503.9</t>
  </si>
  <si>
    <t>HDGFL3</t>
  </si>
  <si>
    <t>ENSG00000166825.14</t>
  </si>
  <si>
    <t>ANPEP</t>
  </si>
  <si>
    <t>ENSG00000140563.15</t>
  </si>
  <si>
    <t>MCTP2</t>
  </si>
  <si>
    <t>ENSG00000184254.17</t>
  </si>
  <si>
    <t>ALDH1A3</t>
  </si>
  <si>
    <t>ENSG00000127578.7</t>
  </si>
  <si>
    <t>WFIKKN1</t>
  </si>
  <si>
    <t>ENSG00000162040.6</t>
  </si>
  <si>
    <t>HS3ST6</t>
  </si>
  <si>
    <t>ENSG00000260778.5</t>
  </si>
  <si>
    <t>AC009065.4</t>
  </si>
  <si>
    <t>ENSG00000162068.1</t>
  </si>
  <si>
    <t>NTN3</t>
  </si>
  <si>
    <t>ENSG00000260293.2</t>
  </si>
  <si>
    <t>AC106820.4</t>
  </si>
  <si>
    <t>ENSG00000172460.16</t>
  </si>
  <si>
    <t>PRSS30P</t>
  </si>
  <si>
    <t>ENSG00000131650.14</t>
  </si>
  <si>
    <t>KREMEN2</t>
  </si>
  <si>
    <t>ENSG00000126603.8</t>
  </si>
  <si>
    <t>GLIS2</t>
  </si>
  <si>
    <t>ENSG00000278434.1</t>
  </si>
  <si>
    <t>AC023830.3</t>
  </si>
  <si>
    <t>ENSG00000213853.10</t>
  </si>
  <si>
    <t>EMP2</t>
  </si>
  <si>
    <t>ENSG00000103528.17</t>
  </si>
  <si>
    <t>SYT17</t>
  </si>
  <si>
    <t>ENSG00000183549.10</t>
  </si>
  <si>
    <t>ACSM5</t>
  </si>
  <si>
    <t>ENSG00000066813.14</t>
  </si>
  <si>
    <t>ACSM2B</t>
  </si>
  <si>
    <t>ENSG00000175311.7</t>
  </si>
  <si>
    <t>ANKS4B</t>
  </si>
  <si>
    <t>ENSG00000265462.1</t>
  </si>
  <si>
    <t>MIR3680-1</t>
  </si>
  <si>
    <t>ENSG00000257838.5</t>
  </si>
  <si>
    <t>OTOAP1</t>
  </si>
  <si>
    <t>ENSG00000158865.12</t>
  </si>
  <si>
    <t>SLC5A11</t>
  </si>
  <si>
    <t>ENSG00000103522.16</t>
  </si>
  <si>
    <t>IL21R</t>
  </si>
  <si>
    <t>ENSG00000188322.5</t>
  </si>
  <si>
    <t>SBK1</t>
  </si>
  <si>
    <t>ENSG00000184730.11</t>
  </si>
  <si>
    <t>APOBR</t>
  </si>
  <si>
    <t>ENSG00000275441.1</t>
  </si>
  <si>
    <t>AC020765.2</t>
  </si>
  <si>
    <t>ENSG00000279196.1</t>
  </si>
  <si>
    <t>AC135048.4</t>
  </si>
  <si>
    <t>ENSG00000260628.5</t>
  </si>
  <si>
    <t>AC142381.3</t>
  </si>
  <si>
    <t>ENSG00000261580.1</t>
  </si>
  <si>
    <t>ENPP7P13</t>
  </si>
  <si>
    <t>ENSG00000260781.1</t>
  </si>
  <si>
    <t>ARHGAP23P1</t>
  </si>
  <si>
    <t>ENSG00000102935.11</t>
  </si>
  <si>
    <t>ZNF423</t>
  </si>
  <si>
    <t>ENSG00000275155.1</t>
  </si>
  <si>
    <t>AC027348.1</t>
  </si>
  <si>
    <t>ENSG00000260963.1</t>
  </si>
  <si>
    <t>AC026462.3</t>
  </si>
  <si>
    <t>ENSG00000087245.13</t>
  </si>
  <si>
    <t>MMP2</t>
  </si>
  <si>
    <t>ENSG00000228695.10</t>
  </si>
  <si>
    <t>CES1P1</t>
  </si>
  <si>
    <t>ENSG00000198848.12</t>
  </si>
  <si>
    <t>CES1</t>
  </si>
  <si>
    <t>ENSG00000125148.7</t>
  </si>
  <si>
    <t>MT2A</t>
  </si>
  <si>
    <t>ENSG00000169715.14</t>
  </si>
  <si>
    <t>MT1E</t>
  </si>
  <si>
    <t>ENSG00000187193.9</t>
  </si>
  <si>
    <t>MT1X</t>
  </si>
  <si>
    <t>ENSG00000087237.12</t>
  </si>
  <si>
    <t>CETP</t>
  </si>
  <si>
    <t>ENSG00000159625.14</t>
  </si>
  <si>
    <t>DRC7</t>
  </si>
  <si>
    <t>ENSG00000246898.1</t>
  </si>
  <si>
    <t>LINC00920</t>
  </si>
  <si>
    <t>ENSG00000062038.14</t>
  </si>
  <si>
    <t>CDH3</t>
  </si>
  <si>
    <t>ENSG00000198650.11</t>
  </si>
  <si>
    <t>TAT</t>
  </si>
  <si>
    <t>ENSG00000261170.1</t>
  </si>
  <si>
    <t>AC009053.3</t>
  </si>
  <si>
    <t>ENSG00000168404.13</t>
  </si>
  <si>
    <t>MLKL</t>
  </si>
  <si>
    <t>ENSG00000178573.7</t>
  </si>
  <si>
    <t>MAF</t>
  </si>
  <si>
    <t>ENSG00000103196.12</t>
  </si>
  <si>
    <t>CRISPLD2</t>
  </si>
  <si>
    <t>ENSG00000153789.13</t>
  </si>
  <si>
    <t>FAM92B</t>
  </si>
  <si>
    <t>ENSG00000154102.11</t>
  </si>
  <si>
    <t>C16orf74</t>
  </si>
  <si>
    <t>ENSG00000261273.1</t>
  </si>
  <si>
    <t>AC138512.1</t>
  </si>
  <si>
    <t>ENSG00000185669.6</t>
  </si>
  <si>
    <t>SNAI3</t>
  </si>
  <si>
    <t>ENSG00000272636.4</t>
  </si>
  <si>
    <t>DOC2B</t>
  </si>
  <si>
    <t>ENSG00000262558.1</t>
  </si>
  <si>
    <t>AC129507.3</t>
  </si>
  <si>
    <t>ENSG00000183688.4</t>
  </si>
  <si>
    <t>RFLNB</t>
  </si>
  <si>
    <t>ENSG00000182557.8</t>
  </si>
  <si>
    <t>SPNS3</t>
  </si>
  <si>
    <t>ENSG00000091592.16</t>
  </si>
  <si>
    <t>NLRP1</t>
  </si>
  <si>
    <t>ENSG00000178977.3</t>
  </si>
  <si>
    <t>LINC00324</t>
  </si>
  <si>
    <t>ENSG00000065320.9</t>
  </si>
  <si>
    <t>NTN1</t>
  </si>
  <si>
    <t>ENSG00000007237.18</t>
  </si>
  <si>
    <t>GAS7</t>
  </si>
  <si>
    <t>ENSG00000187824.8</t>
  </si>
  <si>
    <t>TMEM220</t>
  </si>
  <si>
    <t>ENSG00000167525.13</t>
  </si>
  <si>
    <t>PROCA1</t>
  </si>
  <si>
    <t>ENSG00000160606.11</t>
  </si>
  <si>
    <t>TLCD1</t>
  </si>
  <si>
    <t>ENSG00000108576.10</t>
  </si>
  <si>
    <t>SLC6A4</t>
  </si>
  <si>
    <t>ENSG00000172123.12</t>
  </si>
  <si>
    <t>SLFN12</t>
  </si>
  <si>
    <t>ENSG00000273604.1</t>
  </si>
  <si>
    <t>EPOP</t>
  </si>
  <si>
    <t>ENSG00000161381.14</t>
  </si>
  <si>
    <t>PLXDC1</t>
  </si>
  <si>
    <t>ENSG00000279806.1</t>
  </si>
  <si>
    <t>AC018629.1</t>
  </si>
  <si>
    <t>ENSG00000131746.13</t>
  </si>
  <si>
    <t>TNS4</t>
  </si>
  <si>
    <t>ENSG00000184502.4</t>
  </si>
  <si>
    <t>GAST</t>
  </si>
  <si>
    <t>ENSG00000089558.9</t>
  </si>
  <si>
    <t>KCNH4</t>
  </si>
  <si>
    <t>ENSG00000184451.5</t>
  </si>
  <si>
    <t>CCR10</t>
  </si>
  <si>
    <t>ENSG00000126562.17</t>
  </si>
  <si>
    <t>WNK4</t>
  </si>
  <si>
    <t>ENSG00000005961.18</t>
  </si>
  <si>
    <t>ITGA2B</t>
  </si>
  <si>
    <t>ENSG00000108379.10</t>
  </si>
  <si>
    <t>WNT3</t>
  </si>
  <si>
    <t>ENSG00000189120.5</t>
  </si>
  <si>
    <t>SP6</t>
  </si>
  <si>
    <t>ENSG00000108813.11</t>
  </si>
  <si>
    <t>DLX4</t>
  </si>
  <si>
    <t>ENSG00000247011.2</t>
  </si>
  <si>
    <t>AC005920.1</t>
  </si>
  <si>
    <t>ENSG00000108387.14</t>
  </si>
  <si>
    <t>SEPT4</t>
  </si>
  <si>
    <t>ENSG00000011028.14</t>
  </si>
  <si>
    <t>AC080038.1</t>
  </si>
  <si>
    <t>ENSG00000136487.18</t>
  </si>
  <si>
    <t>GH2</t>
  </si>
  <si>
    <t>ENSG00000108950.12</t>
  </si>
  <si>
    <t>FAM20A</t>
  </si>
  <si>
    <t>ENSG00000141219.15</t>
  </si>
  <si>
    <t>C17orf80</t>
  </si>
  <si>
    <t>ENSG00000265010.1</t>
  </si>
  <si>
    <t>AC087301.1</t>
  </si>
  <si>
    <t>ENSG00000172794.20</t>
  </si>
  <si>
    <t>RAB37</t>
  </si>
  <si>
    <t>ENSG00000186919.12</t>
  </si>
  <si>
    <t>ZACN</t>
  </si>
  <si>
    <t>ENSG00000284526.1</t>
  </si>
  <si>
    <t>AC015802.6</t>
  </si>
  <si>
    <t>ENSG00000263727.1</t>
  </si>
  <si>
    <t>AP001178.1</t>
  </si>
  <si>
    <t>ENSG00000265933.5</t>
  </si>
  <si>
    <t>LINC00668</t>
  </si>
  <si>
    <t>ENSG00000101680.15</t>
  </si>
  <si>
    <t>LAMA1</t>
  </si>
  <si>
    <t>ENSG00000141404.16</t>
  </si>
  <si>
    <t>GNAL</t>
  </si>
  <si>
    <t>ENSG00000267733.5</t>
  </si>
  <si>
    <t>AP005264.5</t>
  </si>
  <si>
    <t>ENSG00000267324.1</t>
  </si>
  <si>
    <t>AC006557.2</t>
  </si>
  <si>
    <t>ENSG00000175319.3</t>
  </si>
  <si>
    <t>NF1P5</t>
  </si>
  <si>
    <t>ENSG00000154040.20</t>
  </si>
  <si>
    <t>CABYR</t>
  </si>
  <si>
    <t>ENSG00000118271.10</t>
  </si>
  <si>
    <t>TTR</t>
  </si>
  <si>
    <t>ENSG00000101670.12</t>
  </si>
  <si>
    <t>LIPG</t>
  </si>
  <si>
    <t>ENSG00000166510.14</t>
  </si>
  <si>
    <t>CCDC68</t>
  </si>
  <si>
    <t>ENSG00000081923.13</t>
  </si>
  <si>
    <t>ATP8B1</t>
  </si>
  <si>
    <t>ENSG00000141682.11</t>
  </si>
  <si>
    <t>PMAIP1</t>
  </si>
  <si>
    <t>ENSG00000206075.14</t>
  </si>
  <si>
    <t>SERPINB5</t>
  </si>
  <si>
    <t>ENSG00000171451.14</t>
  </si>
  <si>
    <t>DSEL</t>
  </si>
  <si>
    <t>ENSG00000260457.2</t>
  </si>
  <si>
    <t>AC027458.1</t>
  </si>
  <si>
    <t>ENSG00000187773.8</t>
  </si>
  <si>
    <t>DIPK1C</t>
  </si>
  <si>
    <t>ENSG00000099822.3</t>
  </si>
  <si>
    <t>HCN2</t>
  </si>
  <si>
    <t>ENSG00000129951.18</t>
  </si>
  <si>
    <t>PLPPR3</t>
  </si>
  <si>
    <t>ENSG00000116032.5</t>
  </si>
  <si>
    <t>GRIN3B</t>
  </si>
  <si>
    <t>ENSG00000060566.14</t>
  </si>
  <si>
    <t>CREB3L3</t>
  </si>
  <si>
    <t>ENSG00000089847.12</t>
  </si>
  <si>
    <t>ANKRD24</t>
  </si>
  <si>
    <t>ENSG00000223573.7</t>
  </si>
  <si>
    <t>TINCR</t>
  </si>
  <si>
    <t>ENSG00000174898.16</t>
  </si>
  <si>
    <t>CATSPERD</t>
  </si>
  <si>
    <t>ENSG00000181143.15</t>
  </si>
  <si>
    <t>MUC16</t>
  </si>
  <si>
    <t>ENSG00000267534.4</t>
  </si>
  <si>
    <t>S1PR2</t>
  </si>
  <si>
    <t>ENSG00000105518.14</t>
  </si>
  <si>
    <t>TMEM205</t>
  </si>
  <si>
    <t>ENSG00000130176.8</t>
  </si>
  <si>
    <t>CNN1</t>
  </si>
  <si>
    <t>ENSG00000132000.13</t>
  </si>
  <si>
    <t>PODNL1</t>
  </si>
  <si>
    <t>ENSG00000105011.9</t>
  </si>
  <si>
    <t>ASF1B</t>
  </si>
  <si>
    <t>ENSG00000186115.13</t>
  </si>
  <si>
    <t>CYP4F2</t>
  </si>
  <si>
    <t>ENSG00000072954.7</t>
  </si>
  <si>
    <t>TMEM38A</t>
  </si>
  <si>
    <t>ENSG00000268743.1</t>
  </si>
  <si>
    <t>AC008737.1</t>
  </si>
  <si>
    <t>ENSG00000179913.10</t>
  </si>
  <si>
    <t>B3GNT3</t>
  </si>
  <si>
    <t>ENSG00000105641.4</t>
  </si>
  <si>
    <t>SLC5A5</t>
  </si>
  <si>
    <t>ENSG00000285188.1</t>
  </si>
  <si>
    <t>AC008397.2</t>
  </si>
  <si>
    <t>ENSG00000105173.14</t>
  </si>
  <si>
    <t>CCNE1</t>
  </si>
  <si>
    <t>ENSG00000250799.9</t>
  </si>
  <si>
    <t>PRODH2</t>
  </si>
  <si>
    <t>ENSG00000196218.12</t>
  </si>
  <si>
    <t>RYR1</t>
  </si>
  <si>
    <t>ENSG00000011422.12</t>
  </si>
  <si>
    <t>PLAUR</t>
  </si>
  <si>
    <t>ENSG00000105419.17</t>
  </si>
  <si>
    <t>MEIS3</t>
  </si>
  <si>
    <t>ENSG00000105499.14</t>
  </si>
  <si>
    <t>PLA2G4C</t>
  </si>
  <si>
    <t>ENSG00000268287.1</t>
  </si>
  <si>
    <t>AC008687.3</t>
  </si>
  <si>
    <t>ENSG00000177380.14</t>
  </si>
  <si>
    <t>PPFIA3</t>
  </si>
  <si>
    <t>ENSG00000179820.16</t>
  </si>
  <si>
    <t>MYADM</t>
  </si>
  <si>
    <t>ENSG00000167646.13</t>
  </si>
  <si>
    <t>DNAAF3</t>
  </si>
  <si>
    <t>ENSG00000231274.5</t>
  </si>
  <si>
    <t>SBK3</t>
  </si>
  <si>
    <t>ENSG00000268654.2</t>
  </si>
  <si>
    <t>MIMT1</t>
  </si>
  <si>
    <t>ENSG00000088836.13</t>
  </si>
  <si>
    <t>SLC4A11</t>
  </si>
  <si>
    <t>ENSG00000125845.7</t>
  </si>
  <si>
    <t>BMP2</t>
  </si>
  <si>
    <t>ENSG00000172296.13</t>
  </si>
  <si>
    <t>SPTLC3</t>
  </si>
  <si>
    <t>ENSG00000101230.6</t>
  </si>
  <si>
    <t>ISM1</t>
  </si>
  <si>
    <t>ENSG00000270001.1</t>
  </si>
  <si>
    <t>AL121894.2</t>
  </si>
  <si>
    <t>ENSG00000101441.4</t>
  </si>
  <si>
    <t>CST4</t>
  </si>
  <si>
    <t>ENSG00000170367.5</t>
  </si>
  <si>
    <t>CST5</t>
  </si>
  <si>
    <t>ENSG00000278383.1</t>
  </si>
  <si>
    <t>AL031673.1</t>
  </si>
  <si>
    <t>ENSG00000175170.15</t>
  </si>
  <si>
    <t>FAM182B</t>
  </si>
  <si>
    <t>ENSG00000149599.15</t>
  </si>
  <si>
    <t>DUSP15</t>
  </si>
  <si>
    <t>ENSG00000275223.1</t>
  </si>
  <si>
    <t>AL121906.2</t>
  </si>
  <si>
    <t>ENSG00000198959.12</t>
  </si>
  <si>
    <t>TGM2</t>
  </si>
  <si>
    <t>ENSG00000204103.4</t>
  </si>
  <si>
    <t>MAFB</t>
  </si>
  <si>
    <t>ENSG00000183798.5</t>
  </si>
  <si>
    <t>EMILIN3</t>
  </si>
  <si>
    <t>ENSG00000168734.14</t>
  </si>
  <si>
    <t>PKIG</t>
  </si>
  <si>
    <t>ENSG00000101098.12</t>
  </si>
  <si>
    <t>RIMS4</t>
  </si>
  <si>
    <t>ENSG00000196562.14</t>
  </si>
  <si>
    <t>SULF2</t>
  </si>
  <si>
    <t>ENSG00000124216.4</t>
  </si>
  <si>
    <t>SNAI1</t>
  </si>
  <si>
    <t>ENSG00000054793.13</t>
  </si>
  <si>
    <t>ATP9A</t>
  </si>
  <si>
    <t>ENSG00000101144.13</t>
  </si>
  <si>
    <t>BMP7</t>
  </si>
  <si>
    <t>ENSG00000233017.2</t>
  </si>
  <si>
    <t>AL121832.1</t>
  </si>
  <si>
    <t>ENSG00000277067.4</t>
  </si>
  <si>
    <t>CU634019.1</t>
  </si>
  <si>
    <t>ENSG00000230965.1</t>
  </si>
  <si>
    <t>SNX18P13</t>
  </si>
  <si>
    <t>ENSG00000215559.8</t>
  </si>
  <si>
    <t>ANKRD20A11P</t>
  </si>
  <si>
    <t>ENSG00000203616.2</t>
  </si>
  <si>
    <t>RHOT1P2</t>
  </si>
  <si>
    <t>ENSG00000232560.6</t>
  </si>
  <si>
    <t>LINC01549</t>
  </si>
  <si>
    <t>ENSG00000166979.13</t>
  </si>
  <si>
    <t>EVA1C</t>
  </si>
  <si>
    <t>ENSG00000273102.1</t>
  </si>
  <si>
    <t>AP000569.1</t>
  </si>
  <si>
    <t>ENSG00000286153.1</t>
  </si>
  <si>
    <t>AP000331.1</t>
  </si>
  <si>
    <t>ENSG00000183628.13</t>
  </si>
  <si>
    <t>DGCR6</t>
  </si>
  <si>
    <t>ENSG00000099937.11</t>
  </si>
  <si>
    <t>SERPIND1</t>
  </si>
  <si>
    <t>ENSG00000286129.1</t>
  </si>
  <si>
    <t>AC245060.7</t>
  </si>
  <si>
    <t>ENSG00000100228.12</t>
  </si>
  <si>
    <t>RAB36</t>
  </si>
  <si>
    <t>ENSG00000218537.1</t>
  </si>
  <si>
    <t>MIF-AS1</t>
  </si>
  <si>
    <t>ENSG00000244625.6</t>
  </si>
  <si>
    <t>MIATNB</t>
  </si>
  <si>
    <t>ENSG00000100360.15</t>
  </si>
  <si>
    <t>IFT27</t>
  </si>
  <si>
    <t>ENSG00000100060.17</t>
  </si>
  <si>
    <t>MFNG</t>
  </si>
  <si>
    <t>ENSG00000100079.7</t>
  </si>
  <si>
    <t>LGALS2</t>
  </si>
  <si>
    <t>ENSG00000168135.4</t>
  </si>
  <si>
    <t>KCNJ4</t>
  </si>
  <si>
    <t>ENSG00000159958.6</t>
  </si>
  <si>
    <t>TNFRSF13C</t>
  </si>
  <si>
    <t>ENSG00000197182.14</t>
  </si>
  <si>
    <t>MIRLET7BHG</t>
  </si>
  <si>
    <t>ENSG00000234869.1</t>
  </si>
  <si>
    <t>AL021392.1</t>
  </si>
  <si>
    <t>ENSG00000185386.15</t>
  </si>
  <si>
    <t>MAPK11</t>
  </si>
  <si>
    <t>ENSG00000101849.16</t>
  </si>
  <si>
    <t>TBL1X</t>
  </si>
  <si>
    <t>ENSG00000188158.15</t>
  </si>
  <si>
    <t>NHS</t>
  </si>
  <si>
    <t>ENSG00000176746.6</t>
  </si>
  <si>
    <t>MAGEB6</t>
  </si>
  <si>
    <t>ENSG00000171365.17</t>
  </si>
  <si>
    <t>CLCN5</t>
  </si>
  <si>
    <t>ENSG00000130054.4</t>
  </si>
  <si>
    <t>FAM155B</t>
  </si>
  <si>
    <t>ENSG00000242732.4</t>
  </si>
  <si>
    <t>RTL5</t>
  </si>
  <si>
    <t>ENSG00000186462.8</t>
  </si>
  <si>
    <t>NAP1L2</t>
  </si>
  <si>
    <t>ENSG00000102359.7</t>
  </si>
  <si>
    <t>SRPX2</t>
  </si>
  <si>
    <t>ENSG00000102362.15</t>
  </si>
  <si>
    <t>SYTL4</t>
  </si>
  <si>
    <t>ENSG00000133169.6</t>
  </si>
  <si>
    <t>BEX1</t>
  </si>
  <si>
    <t>ENSG00000102409.10</t>
  </si>
  <si>
    <t>BEX4</t>
  </si>
  <si>
    <t>ENSG00000123570.4</t>
  </si>
  <si>
    <t>RAB9B</t>
  </si>
  <si>
    <t>ENSG00000213468.6</t>
  </si>
  <si>
    <t>FIRRE</t>
  </si>
  <si>
    <t>ENSG00000076716.9</t>
  </si>
  <si>
    <t>GPC4</t>
  </si>
  <si>
    <t>ENSG00000102195.9</t>
  </si>
  <si>
    <t>GPR50</t>
  </si>
  <si>
    <t>ENSG00000269993.1</t>
  </si>
  <si>
    <t>KC877982.1</t>
  </si>
  <si>
    <t>ENSG00000231535.6</t>
  </si>
  <si>
    <t>LINC00278</t>
  </si>
  <si>
    <t>log2FoldChange (sh-TP53LC04-1-ADR+ vs sh-LacZ-ADR+)</t>
    <phoneticPr fontId="2" type="noConversion"/>
  </si>
  <si>
    <t>pvalue (sh-TP53LC04-1-ADR+ vs sh-LacZ-ADR+)</t>
    <phoneticPr fontId="2" type="noConversion"/>
  </si>
  <si>
    <t>ENSG00000240409.1</t>
  </si>
  <si>
    <t>MTATP8P1</t>
  </si>
  <si>
    <t>ENSG00000272512.1</t>
  </si>
  <si>
    <t>AL645608.7</t>
  </si>
  <si>
    <t>ENSG00000217801.10</t>
  </si>
  <si>
    <t>AL390719.1</t>
  </si>
  <si>
    <t>ENSG00000269978.1</t>
  </si>
  <si>
    <t>AL359881.1</t>
  </si>
  <si>
    <t>ENSG00000188807.13</t>
  </si>
  <si>
    <t>TMEM201</t>
  </si>
  <si>
    <t>ENSG00000204624.8</t>
  </si>
  <si>
    <t>DISP3</t>
  </si>
  <si>
    <t>ENSG00000235643.1</t>
  </si>
  <si>
    <t>LINC01647</t>
  </si>
  <si>
    <t>ENSG00000175147.12</t>
  </si>
  <si>
    <t>TMEM51-AS1</t>
  </si>
  <si>
    <t>ENSG00000237301.1</t>
  </si>
  <si>
    <t>AL121992.1</t>
  </si>
  <si>
    <t>ENSG00000173641.17</t>
  </si>
  <si>
    <t>HSPB7</t>
  </si>
  <si>
    <t>ENSG00000009709.12</t>
  </si>
  <si>
    <t>PAX7</t>
  </si>
  <si>
    <t>ENSG00000227001.3</t>
  </si>
  <si>
    <t>NBPF2P</t>
  </si>
  <si>
    <t>ENSG00000133216.16</t>
  </si>
  <si>
    <t>EPHB2</t>
  </si>
  <si>
    <t>ENSG00000236810.5</t>
  </si>
  <si>
    <t>ELOA-AS1</t>
  </si>
  <si>
    <t>ENSG00000162430.17</t>
  </si>
  <si>
    <t>SELENON</t>
  </si>
  <si>
    <t>ENSG00000090020.11</t>
  </si>
  <si>
    <t>SLC9A1</t>
  </si>
  <si>
    <t>ENSG00000174950.11</t>
  </si>
  <si>
    <t>CD164L2</t>
  </si>
  <si>
    <t>ENSG00000084628.10</t>
  </si>
  <si>
    <t>NKAIN1</t>
  </si>
  <si>
    <t>ENSG00000121769.7</t>
  </si>
  <si>
    <t>FABP3</t>
  </si>
  <si>
    <t>ENSG00000134668.12</t>
  </si>
  <si>
    <t>SPOCD1</t>
  </si>
  <si>
    <t>ENSG00000160097.18</t>
  </si>
  <si>
    <t>FNDC5</t>
  </si>
  <si>
    <t>ENSG00000142920.17</t>
  </si>
  <si>
    <t>AZIN2</t>
  </si>
  <si>
    <t>ENSG00000116544.12</t>
  </si>
  <si>
    <t>DLGAP3</t>
  </si>
  <si>
    <t>ENSG00000232273.1</t>
  </si>
  <si>
    <t>FTH1P1</t>
  </si>
  <si>
    <t>ENSG00000116983.13</t>
  </si>
  <si>
    <t>HPCAL4</t>
  </si>
  <si>
    <t>ENSG00000117010.17</t>
  </si>
  <si>
    <t>ZNF684</t>
  </si>
  <si>
    <t>ENSG00000186409.16</t>
  </si>
  <si>
    <t>CCDC30</t>
  </si>
  <si>
    <t>ENSG00000117394.21</t>
  </si>
  <si>
    <t>SLC2A1</t>
  </si>
  <si>
    <t>ENSG00000117407.17</t>
  </si>
  <si>
    <t>ARTN</t>
  </si>
  <si>
    <t>ENSG00000196517.11</t>
  </si>
  <si>
    <t>SLC6A9</t>
  </si>
  <si>
    <t>ENSG00000230615.6</t>
  </si>
  <si>
    <t>AL139220.2</t>
  </si>
  <si>
    <t>ENSG00000225721.5</t>
  </si>
  <si>
    <t>AL592166.1</t>
  </si>
  <si>
    <t>ENSG00000117461.15</t>
  </si>
  <si>
    <t>PIK3R3</t>
  </si>
  <si>
    <t>ENSG00000085999.12</t>
  </si>
  <si>
    <t>RAD54L</t>
  </si>
  <si>
    <t>ENSG00000162456.9</t>
  </si>
  <si>
    <t>KNCN</t>
  </si>
  <si>
    <t>ENSG00000186564.5</t>
  </si>
  <si>
    <t>FOXD2</t>
  </si>
  <si>
    <t>ENSG00000279096.2</t>
  </si>
  <si>
    <t>AL356289.3</t>
  </si>
  <si>
    <t>ENSG00000117834.12</t>
  </si>
  <si>
    <t>SLC5A9</t>
  </si>
  <si>
    <t>ENSG00000157077.14</t>
  </si>
  <si>
    <t>ZFYVE9</t>
  </si>
  <si>
    <t>ENSG00000226754.1</t>
  </si>
  <si>
    <t>AL606760.1</t>
  </si>
  <si>
    <t>ENSG00000223956.2</t>
  </si>
  <si>
    <t>LINC01767</t>
  </si>
  <si>
    <t>ENSG00000021852.13</t>
  </si>
  <si>
    <t>C8B</t>
  </si>
  <si>
    <t>ENSG00000234264.1</t>
  </si>
  <si>
    <t>DEPDC1-AS1</t>
  </si>
  <si>
    <t>ENSG00000226088.1</t>
  </si>
  <si>
    <t>AL158839.1</t>
  </si>
  <si>
    <t>ENSG00000137960.6</t>
  </si>
  <si>
    <t>GIPC2</t>
  </si>
  <si>
    <t>ENSG00000117226.12</t>
  </si>
  <si>
    <t>GBP3</t>
  </si>
  <si>
    <t>ENSG00000162645.13</t>
  </si>
  <si>
    <t>GBP2</t>
  </si>
  <si>
    <t>ENSG00000226835.2</t>
  </si>
  <si>
    <t>AC097059.1</t>
  </si>
  <si>
    <t>ENSG00000172339.10</t>
  </si>
  <si>
    <t>ALG14</t>
  </si>
  <si>
    <t>ENSG00000156869.13</t>
  </si>
  <si>
    <t>FRRS1</t>
  </si>
  <si>
    <t>ENSG00000162631.18</t>
  </si>
  <si>
    <t>NTNG1</t>
  </si>
  <si>
    <t>ENSG00000215717.6</t>
  </si>
  <si>
    <t>TMEM167B</t>
  </si>
  <si>
    <t>ENSG00000197106.7</t>
  </si>
  <si>
    <t>SLC6A17</t>
  </si>
  <si>
    <t>ENSG00000224965.1</t>
  </si>
  <si>
    <t>LINC02586</t>
  </si>
  <si>
    <t>ENSG00000177301.15</t>
  </si>
  <si>
    <t>KCNA2</t>
  </si>
  <si>
    <t>ENSG00000260948.1</t>
  </si>
  <si>
    <t>AL390195.2</t>
  </si>
  <si>
    <t>ENSG00000243960.1</t>
  </si>
  <si>
    <t>AL390195.1</t>
  </si>
  <si>
    <t>ENSG00000231346.5</t>
  </si>
  <si>
    <t>LINC01160</t>
  </si>
  <si>
    <t>ENSG00000173212.4</t>
  </si>
  <si>
    <t>MAB21L3</t>
  </si>
  <si>
    <t>ENSG00000221040.2</t>
  </si>
  <si>
    <t>RF00012</t>
  </si>
  <si>
    <t>ENSG00000177173.5</t>
  </si>
  <si>
    <t>NAP1L4P1</t>
  </si>
  <si>
    <t>ENSG00000143061.17</t>
  </si>
  <si>
    <t>IGSF3</t>
  </si>
  <si>
    <t>ENSG00000134240.11</t>
  </si>
  <si>
    <t>HMGCS2</t>
  </si>
  <si>
    <t>ENSG00000232527.7</t>
  </si>
  <si>
    <t>AC245595.1</t>
  </si>
  <si>
    <t>ENSG00000143127.13</t>
  </si>
  <si>
    <t>ITGA10</t>
  </si>
  <si>
    <t>ENSG00000211451.12</t>
  </si>
  <si>
    <t>GNRHR2</t>
  </si>
  <si>
    <t>ENSG00000201558.1</t>
  </si>
  <si>
    <t>RNVU1-6</t>
  </si>
  <si>
    <t>ENSG00000277406.2</t>
  </si>
  <si>
    <t>SEC22B4P</t>
  </si>
  <si>
    <t>ENSG00000237188.5</t>
  </si>
  <si>
    <t>AC242426.2</t>
  </si>
  <si>
    <t>ENSG00000162836.12</t>
  </si>
  <si>
    <t>ACP6</t>
  </si>
  <si>
    <t>ENSG00000177144.7</t>
  </si>
  <si>
    <t>NUDT4B</t>
  </si>
  <si>
    <t>ENSG00000270276.2</t>
  </si>
  <si>
    <t>HIST2H4B</t>
  </si>
  <si>
    <t>ENSG00000213190.3</t>
  </si>
  <si>
    <t>MLLT11</t>
  </si>
  <si>
    <t>ENSG00000188643.11</t>
  </si>
  <si>
    <t>S100A16</t>
  </si>
  <si>
    <t>ENSG00000160712.13</t>
  </si>
  <si>
    <t>IL6R</t>
  </si>
  <si>
    <t>ENSG00000163239.12</t>
  </si>
  <si>
    <t>TDRD10</t>
  </si>
  <si>
    <t>ENSG00000272068.1</t>
  </si>
  <si>
    <t>AL365181.2</t>
  </si>
  <si>
    <t>ENSG00000143320.9</t>
  </si>
  <si>
    <t>CRABP2</t>
  </si>
  <si>
    <t>ENSG00000224520.2</t>
  </si>
  <si>
    <t>KRT8P45</t>
  </si>
  <si>
    <t>ENSG00000183853.18</t>
  </si>
  <si>
    <t>KIRREL1</t>
  </si>
  <si>
    <t>ENSG00000171786.6</t>
  </si>
  <si>
    <t>NHLH1</t>
  </si>
  <si>
    <t>ENSG00000270149.5</t>
  </si>
  <si>
    <t>AL591806.3</t>
  </si>
  <si>
    <t>ENSG00000162745.10</t>
  </si>
  <si>
    <t>OLFML2B</t>
  </si>
  <si>
    <t>ENSG00000188859.6</t>
  </si>
  <si>
    <t>FAM78B</t>
  </si>
  <si>
    <t>ENSG00000272205.1</t>
  </si>
  <si>
    <t>AL451050.2</t>
  </si>
  <si>
    <t>ENSG00000198821.10</t>
  </si>
  <si>
    <t>CD247</t>
  </si>
  <si>
    <t>ENSG00000116132.12</t>
  </si>
  <si>
    <t>PRRX1</t>
  </si>
  <si>
    <t>ENSG00000180999.11</t>
  </si>
  <si>
    <t>C1orf105</t>
  </si>
  <si>
    <t>ENSG00000152092.16</t>
  </si>
  <si>
    <t>ASTN1</t>
  </si>
  <si>
    <t>ENSG00000254154.8</t>
  </si>
  <si>
    <t>CRYZL2P-SEC16B</t>
  </si>
  <si>
    <t>ENSG00000242193.11</t>
  </si>
  <si>
    <t>CRYZL2P</t>
  </si>
  <si>
    <t>ENSG00000135828.11</t>
  </si>
  <si>
    <t>RNASEL</t>
  </si>
  <si>
    <t>ENSG00000116741.8</t>
  </si>
  <si>
    <t>RGS2</t>
  </si>
  <si>
    <t>ENSG00000174502.19</t>
  </si>
  <si>
    <t>SLC26A9</t>
  </si>
  <si>
    <t>ENSG00000182795.13</t>
  </si>
  <si>
    <t>C1orf116</t>
  </si>
  <si>
    <t>ENSG00000123843.13</t>
  </si>
  <si>
    <t>C4BPB</t>
  </si>
  <si>
    <t>ENSG00000123838.11</t>
  </si>
  <si>
    <t>C4BPA</t>
  </si>
  <si>
    <t>ENSG00000196352.15</t>
  </si>
  <si>
    <t>CD55</t>
  </si>
  <si>
    <t>ENSG00000117691.10</t>
  </si>
  <si>
    <t>NENF</t>
  </si>
  <si>
    <t>ENSG00000143353.12</t>
  </si>
  <si>
    <t>LYPLAL1</t>
  </si>
  <si>
    <t>ENSG00000277007.1</t>
  </si>
  <si>
    <t>AC096642.1</t>
  </si>
  <si>
    <t>ENSG00000228536.2</t>
  </si>
  <si>
    <t>LYPLAL1-AS1</t>
  </si>
  <si>
    <t>ENSG00000143768.13</t>
  </si>
  <si>
    <t>LEFTY2</t>
  </si>
  <si>
    <t>ENSG00000185155.11</t>
  </si>
  <si>
    <t>MIXL1</t>
  </si>
  <si>
    <t>ENSG00000154342.6</t>
  </si>
  <si>
    <t>WNT3A</t>
  </si>
  <si>
    <t>ENSG00000143632.14</t>
  </si>
  <si>
    <t>ACTA1</t>
  </si>
  <si>
    <t>ENSG00000177614.11</t>
  </si>
  <si>
    <t>PGBD5</t>
  </si>
  <si>
    <t>ENSG00000119283.15</t>
  </si>
  <si>
    <t>TRIM67</t>
  </si>
  <si>
    <t>ENSG00000135749.19</t>
  </si>
  <si>
    <t>PCNX2</t>
  </si>
  <si>
    <t>ENSG00000279261.2</t>
  </si>
  <si>
    <t>AL360294.1</t>
  </si>
  <si>
    <t>ENSG00000116977.18</t>
  </si>
  <si>
    <t>LGALS8</t>
  </si>
  <si>
    <t>ENSG00000223776.5</t>
  </si>
  <si>
    <t>LGALS8-AS1</t>
  </si>
  <si>
    <t>ENSG00000230325.1</t>
  </si>
  <si>
    <t>AL359921.1</t>
  </si>
  <si>
    <t>ENSG00000135747.11</t>
  </si>
  <si>
    <t>ZNF670-ZNF695</t>
  </si>
  <si>
    <t>ENSG00000215795.2</t>
  </si>
  <si>
    <t>AL390728.2</t>
  </si>
  <si>
    <t>ENSG00000189292.16</t>
  </si>
  <si>
    <t>ALKAL2</t>
  </si>
  <si>
    <t>ENSG00000236760.1</t>
  </si>
  <si>
    <t>AC019118.2</t>
  </si>
  <si>
    <t>ENSG00000223884.6</t>
  </si>
  <si>
    <t>AC068481.1</t>
  </si>
  <si>
    <t>ENSG00000143797.12</t>
  </si>
  <si>
    <t>MBOAT2</t>
  </si>
  <si>
    <t>ENSG00000151693.11</t>
  </si>
  <si>
    <t>ASAP2</t>
  </si>
  <si>
    <t>ENSG00000272275.1</t>
  </si>
  <si>
    <t>AC092687.3</t>
  </si>
  <si>
    <t>ENSG00000163032.11</t>
  </si>
  <si>
    <t>VSNL1</t>
  </si>
  <si>
    <t>ENSG00000227210.1</t>
  </si>
  <si>
    <t>AC079145.1</t>
  </si>
  <si>
    <t>ENSG00000234378.1</t>
  </si>
  <si>
    <t>AC098828.3</t>
  </si>
  <si>
    <t>ENSG00000261012.2</t>
  </si>
  <si>
    <t>AC115619.1</t>
  </si>
  <si>
    <t>ENSG00000119771.15</t>
  </si>
  <si>
    <t>KLHL29</t>
  </si>
  <si>
    <t>ENSG00000084710.14</t>
  </si>
  <si>
    <t>EFR3B</t>
  </si>
  <si>
    <t>ENSG00000115138.11</t>
  </si>
  <si>
    <t>POMC</t>
  </si>
  <si>
    <t>ENSG00000157851.17</t>
  </si>
  <si>
    <t>DPYSL5</t>
  </si>
  <si>
    <t>ENSG00000229122.1</t>
  </si>
  <si>
    <t>AGBL5-IT1</t>
  </si>
  <si>
    <t>ENSG00000138002.15</t>
  </si>
  <si>
    <t>IFT172</t>
  </si>
  <si>
    <t>ENSG00000189350.12</t>
  </si>
  <si>
    <t>TOGARAM2</t>
  </si>
  <si>
    <t>ENSG00000213626.13</t>
  </si>
  <si>
    <t>LBH</t>
  </si>
  <si>
    <t>ENSG00000018699.13</t>
  </si>
  <si>
    <t>TTC27</t>
  </si>
  <si>
    <t>ENSG00000049323.16</t>
  </si>
  <si>
    <t>LTBP1</t>
  </si>
  <si>
    <t>ENSG00000205111.8</t>
  </si>
  <si>
    <t>CDKL4</t>
  </si>
  <si>
    <t>ENSG00000152154.11</t>
  </si>
  <si>
    <t>TMEM178A</t>
  </si>
  <si>
    <t>ENSG00000143924.19</t>
  </si>
  <si>
    <t>EML4</t>
  </si>
  <si>
    <t>ENSG00000226087.1</t>
  </si>
  <si>
    <t>AC073283.2</t>
  </si>
  <si>
    <t>ENSG00000184261.4</t>
  </si>
  <si>
    <t>KCNK12</t>
  </si>
  <si>
    <t>ENSG00000214595.11</t>
  </si>
  <si>
    <t>EML6</t>
  </si>
  <si>
    <t>ENSG00000237522.1</t>
  </si>
  <si>
    <t>NONOP2</t>
  </si>
  <si>
    <t>ENSG00000162927.14</t>
  </si>
  <si>
    <t>PUS10</t>
  </si>
  <si>
    <t>ENSG00000143952.20</t>
  </si>
  <si>
    <t>VPS54</t>
  </si>
  <si>
    <t>ENSG00000223935.2</t>
  </si>
  <si>
    <t>LGALSL-DT</t>
  </si>
  <si>
    <t>ENSG00000260101.1</t>
  </si>
  <si>
    <t>AC008074.2</t>
  </si>
  <si>
    <t>ENSG00000115956.10</t>
  </si>
  <si>
    <t>PLEK</t>
  </si>
  <si>
    <t>ENSG00000244617.2</t>
  </si>
  <si>
    <t>ASPRV1</t>
  </si>
  <si>
    <t>ENSG00000144191.11</t>
  </si>
  <si>
    <t>CNGA3</t>
  </si>
  <si>
    <t>ENSG00000272902.2</t>
  </si>
  <si>
    <t>TBC1D8-AS1</t>
  </si>
  <si>
    <t>ENSG00000175701.10</t>
  </si>
  <si>
    <t>MTLN</t>
  </si>
  <si>
    <t>ENSG00000153093.18</t>
  </si>
  <si>
    <t>ACOXL</t>
  </si>
  <si>
    <t>ENSG00000204581.2</t>
  </si>
  <si>
    <t>ACOXL-AS1</t>
  </si>
  <si>
    <t>ENSG00000144152.13</t>
  </si>
  <si>
    <t>FBLN7</t>
  </si>
  <si>
    <t>ENSG00000278962.1</t>
  </si>
  <si>
    <t>AC092645.1</t>
  </si>
  <si>
    <t>ENSG00000136689.18</t>
  </si>
  <si>
    <t>IL1RN</t>
  </si>
  <si>
    <t>ENSG00000227359.1</t>
  </si>
  <si>
    <t>AC017074.1</t>
  </si>
  <si>
    <t>ENSG00000236255.1</t>
  </si>
  <si>
    <t>AC009404.1</t>
  </si>
  <si>
    <t>ENSG00000125629.15</t>
  </si>
  <si>
    <t>INSIG2</t>
  </si>
  <si>
    <t>ENSG00000163075.13</t>
  </si>
  <si>
    <t>CFAP221</t>
  </si>
  <si>
    <t>ENSG00000152076.18</t>
  </si>
  <si>
    <t>CCDC74B</t>
  </si>
  <si>
    <t>ENSG00000150540.14</t>
  </si>
  <si>
    <t>HNMT</t>
  </si>
  <si>
    <t>ENSG00000230569.1</t>
  </si>
  <si>
    <t>AC114763.2</t>
  </si>
  <si>
    <t>ENSG00000168280.17</t>
  </si>
  <si>
    <t>KIF5C</t>
  </si>
  <si>
    <t>ENSG00000187123.15</t>
  </si>
  <si>
    <t>LYPD6</t>
  </si>
  <si>
    <t>ENSG00000115963.13</t>
  </si>
  <si>
    <t>RND3</t>
  </si>
  <si>
    <t>ENSG00000144278.15</t>
  </si>
  <si>
    <t>GALNT13</t>
  </si>
  <si>
    <t>ENSG00000123612.16</t>
  </si>
  <si>
    <t>ACVR1C</t>
  </si>
  <si>
    <t>ENSG00000271924.1</t>
  </si>
  <si>
    <t>RNA5SP108</t>
  </si>
  <si>
    <t>ENSG00000197635.10</t>
  </si>
  <si>
    <t>DPP4</t>
  </si>
  <si>
    <t>ENSG00000184611.11</t>
  </si>
  <si>
    <t>KCNH7</t>
  </si>
  <si>
    <t>ENSG00000115339.13</t>
  </si>
  <si>
    <t>GALNT3</t>
  </si>
  <si>
    <t>ENSG00000236107.9</t>
  </si>
  <si>
    <t>SCN1A-AS1</t>
  </si>
  <si>
    <t>ENSG00000144285.19</t>
  </si>
  <si>
    <t>SCN1A</t>
  </si>
  <si>
    <t>ENSG00000207744.1</t>
  </si>
  <si>
    <t>MIR10B</t>
  </si>
  <si>
    <t>ENSG00000230552.5</t>
  </si>
  <si>
    <t>AC092162.2</t>
  </si>
  <si>
    <t>ENSG00000278418.1</t>
  </si>
  <si>
    <t>MIR6512</t>
  </si>
  <si>
    <t>ENSG00000144331.20</t>
  </si>
  <si>
    <t>ZNF385B</t>
  </si>
  <si>
    <t>ENSG00000170396.8</t>
  </si>
  <si>
    <t>ZNF804A</t>
  </si>
  <si>
    <t>ENSG00000237877.6</t>
  </si>
  <si>
    <t>LINC01473</t>
  </si>
  <si>
    <t>ENSG00000270757.1</t>
  </si>
  <si>
    <t>HSPE1-MOB4</t>
  </si>
  <si>
    <t>ENSG00000237166.1</t>
  </si>
  <si>
    <t>LINC01792</t>
  </si>
  <si>
    <t>ENSG00000230799.1</t>
  </si>
  <si>
    <t>AC007279.1</t>
  </si>
  <si>
    <t>ENSG00000228577.1</t>
  </si>
  <si>
    <t>AC010731.2</t>
  </si>
  <si>
    <t>ENSG00000115361.8</t>
  </si>
  <si>
    <t>ACADL</t>
  </si>
  <si>
    <t>ENSG00000284820.1</t>
  </si>
  <si>
    <t>AC068946.2</t>
  </si>
  <si>
    <t>ENSG00000163286.9</t>
  </si>
  <si>
    <t>ALPG</t>
  </si>
  <si>
    <t>ENSG00000066248.15</t>
  </si>
  <si>
    <t>NGEF</t>
  </si>
  <si>
    <t>ENSG00000243135.6</t>
  </si>
  <si>
    <t>UGT1A3</t>
  </si>
  <si>
    <t>ENSG00000241635.7</t>
  </si>
  <si>
    <t>UGT1A1</t>
  </si>
  <si>
    <t>ENSG00000144481.17</t>
  </si>
  <si>
    <t>TRPM8</t>
  </si>
  <si>
    <t>ENSG00000234949.2</t>
  </si>
  <si>
    <t>AC104667.2</t>
  </si>
  <si>
    <t>ENSG00000178752.16</t>
  </si>
  <si>
    <t>ERFE</t>
  </si>
  <si>
    <t>ENSG00000144485.11</t>
  </si>
  <si>
    <t>HES6</t>
  </si>
  <si>
    <t>ENSG00000218416.4</t>
  </si>
  <si>
    <t>AC110619.1</t>
  </si>
  <si>
    <t>ENSG00000172478.18</t>
  </si>
  <si>
    <t>MAB21L4</t>
  </si>
  <si>
    <t>ENSG00000273113.1</t>
  </si>
  <si>
    <t>AC133528.1</t>
  </si>
  <si>
    <t>ENSG00000125046.14</t>
  </si>
  <si>
    <t>SSUH2</t>
  </si>
  <si>
    <t>ENSG00000187288.10</t>
  </si>
  <si>
    <t>CIDEC</t>
  </si>
  <si>
    <t>ENSG00000264534.3</t>
  </si>
  <si>
    <t>MIR378B</t>
  </si>
  <si>
    <t>ENSG00000283392.1</t>
  </si>
  <si>
    <t>AC090952.2</t>
  </si>
  <si>
    <t>ENSG00000230524.8</t>
  </si>
  <si>
    <t>COL6A4P1</t>
  </si>
  <si>
    <t>ENSG00000272529.1</t>
  </si>
  <si>
    <t>AC090948.3</t>
  </si>
  <si>
    <t>ENSG00000274840.4</t>
  </si>
  <si>
    <t>AC132807.2</t>
  </si>
  <si>
    <t>ENSG00000144677.15</t>
  </si>
  <si>
    <t>CTDSPL</t>
  </si>
  <si>
    <t>ENSG00000168356.11</t>
  </si>
  <si>
    <t>SCN11A</t>
  </si>
  <si>
    <t>ENSG00000283849.1</t>
  </si>
  <si>
    <t>AC092053.2</t>
  </si>
  <si>
    <t>ENSG00000280739.2</t>
  </si>
  <si>
    <t>EIF1B-AS1</t>
  </si>
  <si>
    <t>ENSG00000180432.5</t>
  </si>
  <si>
    <t>CYP8B1</t>
  </si>
  <si>
    <t>ENSG00000114646.10</t>
  </si>
  <si>
    <t>CSPG5</t>
  </si>
  <si>
    <t>ENSG00000179564.4</t>
  </si>
  <si>
    <t>LSMEM2</t>
  </si>
  <si>
    <t>ENSG00000007402.11</t>
  </si>
  <si>
    <t>CACNA2D2</t>
  </si>
  <si>
    <t>ENSG00000010327.10</t>
  </si>
  <si>
    <t>STAB1</t>
  </si>
  <si>
    <t>ENSG00000162267.12</t>
  </si>
  <si>
    <t>ITIH3</t>
  </si>
  <si>
    <t>ENSG00000271916.1</t>
  </si>
  <si>
    <t>AC012467.1</t>
  </si>
  <si>
    <t>ENSG00000189283.10</t>
  </si>
  <si>
    <t>FHIT</t>
  </si>
  <si>
    <t>ENSG00000270059.1</t>
  </si>
  <si>
    <t>AC121493.1</t>
  </si>
  <si>
    <t>ENSG00000272610.1</t>
  </si>
  <si>
    <t>MAGI1-IT1</t>
  </si>
  <si>
    <t>ENSG00000121440.15</t>
  </si>
  <si>
    <t>PDZRN3</t>
  </si>
  <si>
    <t>ENSG00000185008.17</t>
  </si>
  <si>
    <t>ROBO2</t>
  </si>
  <si>
    <t>ENSG00000064225.12</t>
  </si>
  <si>
    <t>ST3GAL6</t>
  </si>
  <si>
    <t>ENSG00000057019.16</t>
  </si>
  <si>
    <t>DCBLD2</t>
  </si>
  <si>
    <t>ENSG00000239462.1</t>
  </si>
  <si>
    <t>AC091212.1</t>
  </si>
  <si>
    <t>ENSG00000240476.1</t>
  </si>
  <si>
    <t>LINC00973</t>
  </si>
  <si>
    <t>ENSG00000168386.18</t>
  </si>
  <si>
    <t>FILIP1L</t>
  </si>
  <si>
    <t>ENSG00000114391.13</t>
  </si>
  <si>
    <t>RPL24</t>
  </si>
  <si>
    <t>ENSG00000244119.1</t>
  </si>
  <si>
    <t>PDCL3P4</t>
  </si>
  <si>
    <t>ENSG00000241634.1</t>
  </si>
  <si>
    <t>AC069499.1</t>
  </si>
  <si>
    <t>ENSG00000206532.2</t>
  </si>
  <si>
    <t>AC117402.1</t>
  </si>
  <si>
    <t>ENSG00000242242.5</t>
  </si>
  <si>
    <t>NECTIN3-AS1</t>
  </si>
  <si>
    <t>ENSG00000241889.1</t>
  </si>
  <si>
    <t>AC079944.2</t>
  </si>
  <si>
    <t>ENSG00000031081.10</t>
  </si>
  <si>
    <t>ARHGAP31</t>
  </si>
  <si>
    <t>ENSG00000144852.17</t>
  </si>
  <si>
    <t>NR1I2</t>
  </si>
  <si>
    <t>ENSG00000163430.12</t>
  </si>
  <si>
    <t>FSTL1</t>
  </si>
  <si>
    <t>ENSG00000173175.14</t>
  </si>
  <si>
    <t>ADCY5</t>
  </si>
  <si>
    <t>ENSG00000221955.10</t>
  </si>
  <si>
    <t>SLC12A8</t>
  </si>
  <si>
    <t>ENSG00000229048.5</t>
  </si>
  <si>
    <t>DUTP1</t>
  </si>
  <si>
    <t>ENSG00000246022.2</t>
  </si>
  <si>
    <t>ALDH1L1-AS2</t>
  </si>
  <si>
    <t>ENSG00000261159.1</t>
  </si>
  <si>
    <t>AC112484.3</t>
  </si>
  <si>
    <t>ENSG00000231305.3</t>
  </si>
  <si>
    <t>AC112484.1</t>
  </si>
  <si>
    <t>ENSG00000114654.7</t>
  </si>
  <si>
    <t>EFCC1</t>
  </si>
  <si>
    <t>ENSG00000181789.14</t>
  </si>
  <si>
    <t>COPG1</t>
  </si>
  <si>
    <t>ENSG00000163914.4</t>
  </si>
  <si>
    <t>RHO</t>
  </si>
  <si>
    <t>ENSG00000203644.3</t>
  </si>
  <si>
    <t>AC083799.1</t>
  </si>
  <si>
    <t>ENSG00000271270.6</t>
  </si>
  <si>
    <t>TMCC1-AS1</t>
  </si>
  <si>
    <t>ENSG00000206384.10</t>
  </si>
  <si>
    <t>COL6A6</t>
  </si>
  <si>
    <t>ENSG00000154917.11</t>
  </si>
  <si>
    <t>RAB6B</t>
  </si>
  <si>
    <t>ENSG00000174564.13</t>
  </si>
  <si>
    <t>IL20RB</t>
  </si>
  <si>
    <t>ENSG00000120756.13</t>
  </si>
  <si>
    <t>PLS1</t>
  </si>
  <si>
    <t>ENSG00000018408.14</t>
  </si>
  <si>
    <t>WWTR1</t>
  </si>
  <si>
    <t>ENSG00000070087.14</t>
  </si>
  <si>
    <t>PFN2</t>
  </si>
  <si>
    <t>ENSG00000244265.1</t>
  </si>
  <si>
    <t>SIAH2-AS1</t>
  </si>
  <si>
    <t>ENSG00000152601.17</t>
  </si>
  <si>
    <t>MBNL1</t>
  </si>
  <si>
    <t>ENSG00000244268.1</t>
  </si>
  <si>
    <t>AC117394.2</t>
  </si>
  <si>
    <t>ENSG00000243629.1</t>
  </si>
  <si>
    <t>LINC00880</t>
  </si>
  <si>
    <t>ENSG00000269984.1</t>
  </si>
  <si>
    <t>AC078795.1</t>
  </si>
  <si>
    <t>ENSG00000173890.17</t>
  </si>
  <si>
    <t>GPR160</t>
  </si>
  <si>
    <t>ENSG00000199488.1</t>
  </si>
  <si>
    <t>RNU1-70P</t>
  </si>
  <si>
    <t>ENSG00000058056.9</t>
  </si>
  <si>
    <t>USP13</t>
  </si>
  <si>
    <t>ENSG00000090539.15</t>
  </si>
  <si>
    <t>CHRD</t>
  </si>
  <si>
    <t>ENSG00000163898.10</t>
  </si>
  <si>
    <t>LIPH</t>
  </si>
  <si>
    <t>ENSG00000171658.8</t>
  </si>
  <si>
    <t>NMRAL2P</t>
  </si>
  <si>
    <t>ENSG00000127241.16</t>
  </si>
  <si>
    <t>MASP1</t>
  </si>
  <si>
    <t>ENSG00000136514.3</t>
  </si>
  <si>
    <t>RTP4</t>
  </si>
  <si>
    <t>ENSG00000276407.4</t>
  </si>
  <si>
    <t>AC024559.2</t>
  </si>
  <si>
    <t>ENSG00000184203.8</t>
  </si>
  <si>
    <t>PPP1R2</t>
  </si>
  <si>
    <t>ENSG00000189058.9</t>
  </si>
  <si>
    <t>APOD</t>
  </si>
  <si>
    <t>ENSG00000224769.1</t>
  </si>
  <si>
    <t>MUC20P1</t>
  </si>
  <si>
    <t>ENSG00000176945.17</t>
  </si>
  <si>
    <t>MUC20</t>
  </si>
  <si>
    <t>ENSG00000260261.2</t>
  </si>
  <si>
    <t>AC124944.3</t>
  </si>
  <si>
    <t>ENSG00000225822.4</t>
  </si>
  <si>
    <t>UBXN7-AS1</t>
  </si>
  <si>
    <t>ENSG00000215375.6</t>
  </si>
  <si>
    <t>MYL5</t>
  </si>
  <si>
    <t>ENSG00000185818.7</t>
  </si>
  <si>
    <t>NAT8L</t>
  </si>
  <si>
    <t>ENSG00000247708.7</t>
  </si>
  <si>
    <t>STX18-AS1</t>
  </si>
  <si>
    <t>ENSG00000173013.5</t>
  </si>
  <si>
    <t>CCDC96</t>
  </si>
  <si>
    <t>ENSG00000178597.7</t>
  </si>
  <si>
    <t>PSAPL1</t>
  </si>
  <si>
    <t>ENSG00000145147.20</t>
  </si>
  <si>
    <t>SLIT2</t>
  </si>
  <si>
    <t>ENSG00000109819.9</t>
  </si>
  <si>
    <t>PPARGC1A</t>
  </si>
  <si>
    <t>ENSG00000109680.11</t>
  </si>
  <si>
    <t>TBC1D19</t>
  </si>
  <si>
    <t>ENSG00000174145.8</t>
  </si>
  <si>
    <t>NWD2</t>
  </si>
  <si>
    <t>ENSG00000174130.12</t>
  </si>
  <si>
    <t>TLR6</t>
  </si>
  <si>
    <t>ENSG00000154277.12</t>
  </si>
  <si>
    <t>UCHL1</t>
  </si>
  <si>
    <t>ENSG00000249212.1</t>
  </si>
  <si>
    <t>ATP1B1P1</t>
  </si>
  <si>
    <t>ENSG00000109182.12</t>
  </si>
  <si>
    <t>CWH43</t>
  </si>
  <si>
    <t>ENSG00000188993.3</t>
  </si>
  <si>
    <t>LRRC66</t>
  </si>
  <si>
    <t>ENSG00000251040.1</t>
  </si>
  <si>
    <t>LINC02480</t>
  </si>
  <si>
    <t>ENSG00000226887.8</t>
  </si>
  <si>
    <t>ERVMER34-1</t>
  </si>
  <si>
    <t>ENSG00000250919.1</t>
  </si>
  <si>
    <t>UGT2B26P</t>
  </si>
  <si>
    <t>ENSG00000250696.5</t>
  </si>
  <si>
    <t>AC111000.4</t>
  </si>
  <si>
    <t>ENSG00000213759.9</t>
  </si>
  <si>
    <t>UGT2B11</t>
  </si>
  <si>
    <t>ENSG00000173597.9</t>
  </si>
  <si>
    <t>SULT1B1</t>
  </si>
  <si>
    <t>ENSG00000169435.14</t>
  </si>
  <si>
    <t>RASSF6</t>
  </si>
  <si>
    <t>ENSG00000138769.11</t>
  </si>
  <si>
    <t>CDKL2</t>
  </si>
  <si>
    <t>ENSG00000251442.5</t>
  </si>
  <si>
    <t>LINC01094</t>
  </si>
  <si>
    <t>ENSG00000145284.12</t>
  </si>
  <si>
    <t>SCD5</t>
  </si>
  <si>
    <t>ENSG00000138678.11</t>
  </si>
  <si>
    <t>GPAT3</t>
  </si>
  <si>
    <t>ENSG00000118785.14</t>
  </si>
  <si>
    <t>SPP1</t>
  </si>
  <si>
    <t>ENSG00000145335.15</t>
  </si>
  <si>
    <t>SNCA</t>
  </si>
  <si>
    <t>ENSG00000168743.12</t>
  </si>
  <si>
    <t>NPNT</t>
  </si>
  <si>
    <t>ENSG00000205403.13</t>
  </si>
  <si>
    <t>CFI</t>
  </si>
  <si>
    <t>ENSG00000180245.5</t>
  </si>
  <si>
    <t>RRH</t>
  </si>
  <si>
    <t>ENSG00000183423.11</t>
  </si>
  <si>
    <t>LRIT3</t>
  </si>
  <si>
    <t>ENSG00000138798.12</t>
  </si>
  <si>
    <t>EGF</t>
  </si>
  <si>
    <t>ENSG00000150961.15</t>
  </si>
  <si>
    <t>SEC24D</t>
  </si>
  <si>
    <t>ENSG00000085871.9</t>
  </si>
  <si>
    <t>MGST2</t>
  </si>
  <si>
    <t>ENSG00000170153.11</t>
  </si>
  <si>
    <t>RNF150</t>
  </si>
  <si>
    <t>ENSG00000109452.12</t>
  </si>
  <si>
    <t>INPP4B</t>
  </si>
  <si>
    <t>ENSG00000251600.7</t>
  </si>
  <si>
    <t>AC107223.1</t>
  </si>
  <si>
    <t>ENSG00000151611.15</t>
  </si>
  <si>
    <t>MMAA</t>
  </si>
  <si>
    <t>ENSG00000120519.14</t>
  </si>
  <si>
    <t>SLC10A7</t>
  </si>
  <si>
    <t>ENSG00000170390.16</t>
  </si>
  <si>
    <t>DCLK2</t>
  </si>
  <si>
    <t>ENSG00000251611.1</t>
  </si>
  <si>
    <t>FAM160A1-DT</t>
  </si>
  <si>
    <t>ENSG00000137462.7</t>
  </si>
  <si>
    <t>TLR2</t>
  </si>
  <si>
    <t>ENSG00000154447.15</t>
  </si>
  <si>
    <t>SH3RF1</t>
  </si>
  <si>
    <t>ENSG00000248774.1</t>
  </si>
  <si>
    <t>AC097534.1</t>
  </si>
  <si>
    <t>ENSG00000249173.5</t>
  </si>
  <si>
    <t>LINC01093</t>
  </si>
  <si>
    <t>ENSG00000205129.8</t>
  </si>
  <si>
    <t>C4orf47</t>
  </si>
  <si>
    <t>ENSG00000154556.18</t>
  </si>
  <si>
    <t>SORBS2</t>
  </si>
  <si>
    <t>ENSG00000109794.13</t>
  </si>
  <si>
    <t>FAM149A</t>
  </si>
  <si>
    <t>ENSG00000250829.2</t>
  </si>
  <si>
    <t>AC108865.1</t>
  </si>
  <si>
    <t>ENSG00000272218.1</t>
  </si>
  <si>
    <t>AC108865.2</t>
  </si>
  <si>
    <t>ENSG00000249378.5</t>
  </si>
  <si>
    <t>LINC01060</t>
  </si>
  <si>
    <t>ENSG00000206077.11</t>
  </si>
  <si>
    <t>ZDHHC11B</t>
  </si>
  <si>
    <t>ENSG00000272347.1</t>
  </si>
  <si>
    <t>AC116351.2</t>
  </si>
  <si>
    <t>ENSG00000215217.7</t>
  </si>
  <si>
    <t>C5orf49</t>
  </si>
  <si>
    <t>ENSG00000145491.12</t>
  </si>
  <si>
    <t>ROPN1L</t>
  </si>
  <si>
    <t>ENSG00000198865.10</t>
  </si>
  <si>
    <t>CCDC152</t>
  </si>
  <si>
    <t>ENSG00000250722.6</t>
  </si>
  <si>
    <t>SELENOP</t>
  </si>
  <si>
    <t>ENSG00000272382.1</t>
  </si>
  <si>
    <t>AC025171.5</t>
  </si>
  <si>
    <t>ENSG00000164171.11</t>
  </si>
  <si>
    <t>ITGA2</t>
  </si>
  <si>
    <t>ENSG00000164509.14</t>
  </si>
  <si>
    <t>IL31RA</t>
  </si>
  <si>
    <t>ENSG00000113448.19</t>
  </si>
  <si>
    <t>PDE4D</t>
  </si>
  <si>
    <t>ENSG00000268942.2</t>
  </si>
  <si>
    <t>CKS1BP3</t>
  </si>
  <si>
    <t>ENSG00000186479.4</t>
  </si>
  <si>
    <t>RGS7BP</t>
  </si>
  <si>
    <t>ENSG00000269961.1</t>
  </si>
  <si>
    <t>AC010359.1</t>
  </si>
  <si>
    <t>ENSG00000250387.2</t>
  </si>
  <si>
    <t>LINC02197</t>
  </si>
  <si>
    <t>ENSG00000251493.5</t>
  </si>
  <si>
    <t>FOXD1</t>
  </si>
  <si>
    <t>ENSG00000207336.1</t>
  </si>
  <si>
    <t>RNU6-658P</t>
  </si>
  <si>
    <t>ENSG00000132837.14</t>
  </si>
  <si>
    <t>DMGDH</t>
  </si>
  <si>
    <t>ENSG00000249042.5</t>
  </si>
  <si>
    <t>AC008771.1</t>
  </si>
  <si>
    <t>ENSG00000248323.6</t>
  </si>
  <si>
    <t>LUCAT1</t>
  </si>
  <si>
    <t>ENSG00000249958.1</t>
  </si>
  <si>
    <t>CCT7P2</t>
  </si>
  <si>
    <t>ENSG00000237187.8</t>
  </si>
  <si>
    <t>NR2F1-AS1</t>
  </si>
  <si>
    <t>ENSG00000236882.7</t>
  </si>
  <si>
    <t>LINC01554</t>
  </si>
  <si>
    <t>ENSG00000133835.15</t>
  </si>
  <si>
    <t>HSD17B4</t>
  </si>
  <si>
    <t>ENSG00000250328.5</t>
  </si>
  <si>
    <t>AC022101.1</t>
  </si>
  <si>
    <t>ENSG00000155324.9</t>
  </si>
  <si>
    <t>GRAMD2B</t>
  </si>
  <si>
    <t>ENSG00000164398.13</t>
  </si>
  <si>
    <t>ACSL6</t>
  </si>
  <si>
    <t>ENSG00000145826.9</t>
  </si>
  <si>
    <t>LECT2</t>
  </si>
  <si>
    <t>ENSG00000271824.1</t>
  </si>
  <si>
    <t>SMIM32</t>
  </si>
  <si>
    <t>ENSG00000272070.1</t>
  </si>
  <si>
    <t>AC005618.1</t>
  </si>
  <si>
    <t>ENSG00000204956.5</t>
  </si>
  <si>
    <t>PCDHGA1</t>
  </si>
  <si>
    <t>ENSG00000253910.2</t>
  </si>
  <si>
    <t>PCDHGB2</t>
  </si>
  <si>
    <t>ENSG00000156475.18</t>
  </si>
  <si>
    <t>PPP2R2B</t>
  </si>
  <si>
    <t>ENSG00000145882.11</t>
  </si>
  <si>
    <t>PCYOX1L</t>
  </si>
  <si>
    <t>ENSG00000127743.6</t>
  </si>
  <si>
    <t>IL17B</t>
  </si>
  <si>
    <t>ENSG00000211445.12</t>
  </si>
  <si>
    <t>GPX3</t>
  </si>
  <si>
    <t>ENSG00000253921.1</t>
  </si>
  <si>
    <t>AC091982.1</t>
  </si>
  <si>
    <t>ENSG00000113196.3</t>
  </si>
  <si>
    <t>HAND1</t>
  </si>
  <si>
    <t>ENSG00000221886.4</t>
  </si>
  <si>
    <t>ZBED8</t>
  </si>
  <si>
    <t>ENSG00000156427.8</t>
  </si>
  <si>
    <t>FGF18</t>
  </si>
  <si>
    <t>ENSG00000113734.17</t>
  </si>
  <si>
    <t>BNIP1</t>
  </si>
  <si>
    <t>ENSG00000253686.1</t>
  </si>
  <si>
    <t>LINC01484</t>
  </si>
  <si>
    <t>ENSG00000254211.5</t>
  </si>
  <si>
    <t>LINC01485</t>
  </si>
  <si>
    <t>ENSG00000113763.12</t>
  </si>
  <si>
    <t>UNC5A</t>
  </si>
  <si>
    <t>ENSG00000252464.1</t>
  </si>
  <si>
    <t>RN7SKP70</t>
  </si>
  <si>
    <t>ENSG00000131459.13</t>
  </si>
  <si>
    <t>GFPT2</t>
  </si>
  <si>
    <t>ENSG00000161055.4</t>
  </si>
  <si>
    <t>SCGB3A1</t>
  </si>
  <si>
    <t>ENSG00000165810.17</t>
  </si>
  <si>
    <t>BTNL9</t>
  </si>
  <si>
    <t>ENSG00000145949.10</t>
  </si>
  <si>
    <t>MYLK4</t>
  </si>
  <si>
    <t>ENSG00000244041.7</t>
  </si>
  <si>
    <t>LINC01011</t>
  </si>
  <si>
    <t>ENSG00000231811.2</t>
  </si>
  <si>
    <t>AL159166.1</t>
  </si>
  <si>
    <t>ENSG00000233503.1</t>
  </si>
  <si>
    <t>HNRNPLP1</t>
  </si>
  <si>
    <t>ENSG00000153162.9</t>
  </si>
  <si>
    <t>BMP6</t>
  </si>
  <si>
    <t>ENSG00000111846.17</t>
  </si>
  <si>
    <t>GCNT2</t>
  </si>
  <si>
    <t>ENSG00000285763.1</t>
  </si>
  <si>
    <t>AL358777.1</t>
  </si>
  <si>
    <t>ENSG00000145990.11</t>
  </si>
  <si>
    <t>GFOD1</t>
  </si>
  <si>
    <t>ENSG00000235488.1</t>
  </si>
  <si>
    <t>JARID2-AS1</t>
  </si>
  <si>
    <t>ENSG00000137261.14</t>
  </si>
  <si>
    <t>KIAA0319</t>
  </si>
  <si>
    <t>ENSG00000124564.17</t>
  </si>
  <si>
    <t>SLC17A3</t>
  </si>
  <si>
    <t>ENSG00000180596.7</t>
  </si>
  <si>
    <t>HIST1H2BC</t>
  </si>
  <si>
    <t>ENSG00000180573.9</t>
  </si>
  <si>
    <t>HIST1H2AC</t>
  </si>
  <si>
    <t>ENSG00000186470.14</t>
  </si>
  <si>
    <t>BTN3A2</t>
  </si>
  <si>
    <t>ENSG00000026950.17</t>
  </si>
  <si>
    <t>BTN3A1</t>
  </si>
  <si>
    <t>ENSG00000196787.3</t>
  </si>
  <si>
    <t>HIST1H2AG</t>
  </si>
  <si>
    <t>ENSG00000124657.1</t>
  </si>
  <si>
    <t>OR2B6</t>
  </si>
  <si>
    <t>ENSG00000229390.1</t>
  </si>
  <si>
    <t>MICD</t>
  </si>
  <si>
    <t>ENSG00000272501.1</t>
  </si>
  <si>
    <t>AL662844.4</t>
  </si>
  <si>
    <t>ENSG00000204516.10</t>
  </si>
  <si>
    <t>MICB</t>
  </si>
  <si>
    <t>ENSG00000166278.15</t>
  </si>
  <si>
    <t>C2</t>
  </si>
  <si>
    <t>ENSG00000243649.8</t>
  </si>
  <si>
    <t>CFB</t>
  </si>
  <si>
    <t>ENSG00000204338.8</t>
  </si>
  <si>
    <t>CYP21A1P</t>
  </si>
  <si>
    <t>ENSG00000196126.11</t>
  </si>
  <si>
    <t>HLA-DRB1</t>
  </si>
  <si>
    <t>ENSG00000112053.13</t>
  </si>
  <si>
    <t>SLC26A8</t>
  </si>
  <si>
    <t>ENSG00000179165.11</t>
  </si>
  <si>
    <t>PXT1</t>
  </si>
  <si>
    <t>ENSG00000285888.1</t>
  </si>
  <si>
    <t>Z85996.2</t>
  </si>
  <si>
    <t>ENSG00000164530.15</t>
  </si>
  <si>
    <t>PI16</t>
  </si>
  <si>
    <t>ENSG00000112139.16</t>
  </si>
  <si>
    <t>MDGA1</t>
  </si>
  <si>
    <t>ENSG00000164627.18</t>
  </si>
  <si>
    <t>KIF6</t>
  </si>
  <si>
    <t>ENSG00000124593.16</t>
  </si>
  <si>
    <t>AL365205.1</t>
  </si>
  <si>
    <t>ENSG00000112599.9</t>
  </si>
  <si>
    <t>GUCA1B</t>
  </si>
  <si>
    <t>ENSG00000181524.6</t>
  </si>
  <si>
    <t>RPL24P4</t>
  </si>
  <si>
    <t>ENSG00000137204.14</t>
  </si>
  <si>
    <t>SLC22A7</t>
  </si>
  <si>
    <t>ENSG00000204052.4</t>
  </si>
  <si>
    <t>LRRC73</t>
  </si>
  <si>
    <t>ENSG00000178233.17</t>
  </si>
  <si>
    <t>TMEM151B</t>
  </si>
  <si>
    <t>ENSG00000272442.2</t>
  </si>
  <si>
    <t>AL353588.1</t>
  </si>
  <si>
    <t>ENSG00000112782.17</t>
  </si>
  <si>
    <t>CLIC5</t>
  </si>
  <si>
    <t>ENSG00000172348.14</t>
  </si>
  <si>
    <t>RCAN2</t>
  </si>
  <si>
    <t>ENSG00000244067.3</t>
  </si>
  <si>
    <t>GSTA2</t>
  </si>
  <si>
    <t>ENSG00000236740.6</t>
  </si>
  <si>
    <t>AL033384.1</t>
  </si>
  <si>
    <t>ENSG00000236345.1</t>
  </si>
  <si>
    <t>SCAT8</t>
  </si>
  <si>
    <t>ENSG00000119900.9</t>
  </si>
  <si>
    <t>OGFRL1</t>
  </si>
  <si>
    <t>ENSG00000119899.13</t>
  </si>
  <si>
    <t>SLC17A5</t>
  </si>
  <si>
    <t>ENSG00000112706.12</t>
  </si>
  <si>
    <t>IMPG1</t>
  </si>
  <si>
    <t>ENSG00000118402.6</t>
  </si>
  <si>
    <t>ELOVL4</t>
  </si>
  <si>
    <t>ENSG00000154548.9</t>
  </si>
  <si>
    <t>SRSF12</t>
  </si>
  <si>
    <t>ENSG00000146267.12</t>
  </si>
  <si>
    <t>FAXC</t>
  </si>
  <si>
    <t>ENSG00000112246.9</t>
  </si>
  <si>
    <t>SIM1</t>
  </si>
  <si>
    <t>ENSG00000112297.15</t>
  </si>
  <si>
    <t>CRYBG1</t>
  </si>
  <si>
    <t>ENSG00000235142.9</t>
  </si>
  <si>
    <t>LINC02532</t>
  </si>
  <si>
    <t>ENSG00000112333.11</t>
  </si>
  <si>
    <t>NR2E1</t>
  </si>
  <si>
    <t>ENSG00000249853.7</t>
  </si>
  <si>
    <t>HS3ST5</t>
  </si>
  <si>
    <t>ENSG00000047936.10</t>
  </si>
  <si>
    <t>ROS1</t>
  </si>
  <si>
    <t>ENSG00000172594.13</t>
  </si>
  <si>
    <t>SMPDL3A</t>
  </si>
  <si>
    <t>ENSG00000111907.21</t>
  </si>
  <si>
    <t>TPD52L1</t>
  </si>
  <si>
    <t>ENSG00000286215.1</t>
  </si>
  <si>
    <t>AL356534.1</t>
  </si>
  <si>
    <t>ENSG00000256162.2</t>
  </si>
  <si>
    <t>SMLR1</t>
  </si>
  <si>
    <t>ENSG00000197594.13</t>
  </si>
  <si>
    <t>ENPP1</t>
  </si>
  <si>
    <t>ENSG00000112299.8</t>
  </si>
  <si>
    <t>VNN1</t>
  </si>
  <si>
    <t>ENSG00000231023.6</t>
  </si>
  <si>
    <t>LINC00326</t>
  </si>
  <si>
    <t>ENSG00000118514.14</t>
  </si>
  <si>
    <t>ALDH8A1</t>
  </si>
  <si>
    <t>ENSG00000231028.8</t>
  </si>
  <si>
    <t>LINC00271</t>
  </si>
  <si>
    <t>ENSG00000135525.18</t>
  </si>
  <si>
    <t>MAP7</t>
  </si>
  <si>
    <t>ENSG00000278899.1</t>
  </si>
  <si>
    <t>AL358852.1</t>
  </si>
  <si>
    <t>ENSG00000111981.5</t>
  </si>
  <si>
    <t>ULBP1</t>
  </si>
  <si>
    <t>ENSG00000218358.2</t>
  </si>
  <si>
    <t>RAET1K</t>
  </si>
  <si>
    <t>ENSG00000074706.13</t>
  </si>
  <si>
    <t>IPCEF1</t>
  </si>
  <si>
    <t>ENSG00000146453.13</t>
  </si>
  <si>
    <t>PNLDC1</t>
  </si>
  <si>
    <t>ENSG00000112530.11</t>
  </si>
  <si>
    <t>PACRG</t>
  </si>
  <si>
    <t>ENSG00000112541.14</t>
  </si>
  <si>
    <t>PDE10A</t>
  </si>
  <si>
    <t>ENSG00000164488.12</t>
  </si>
  <si>
    <t>DACT2</t>
  </si>
  <si>
    <t>ENSG00000198719.9</t>
  </si>
  <si>
    <t>DLL1</t>
  </si>
  <si>
    <t>ENSG00000002822.15</t>
  </si>
  <si>
    <t>MAD1L1</t>
  </si>
  <si>
    <t>ENSG00000106003.13</t>
  </si>
  <si>
    <t>LFNG</t>
  </si>
  <si>
    <t>ENSG00000231704.5</t>
  </si>
  <si>
    <t>AC004895.1</t>
  </si>
  <si>
    <t>ENSG00000228010.5</t>
  </si>
  <si>
    <t>AC073343.2</t>
  </si>
  <si>
    <t>ENSG00000226943.3</t>
  </si>
  <si>
    <t>ALG1L5P</t>
  </si>
  <si>
    <t>ENSG00000164651.16</t>
  </si>
  <si>
    <t>SP8</t>
  </si>
  <si>
    <t>ENSG00000136235.16</t>
  </si>
  <si>
    <t>GPNMB</t>
  </si>
  <si>
    <t>ENSG00000197576.13</t>
  </si>
  <si>
    <t>HOXA4</t>
  </si>
  <si>
    <t>ENSG00000106006.6</t>
  </si>
  <si>
    <t>HOXA6</t>
  </si>
  <si>
    <t>ENSG00000285162.1</t>
  </si>
  <si>
    <t>AC004593.3</t>
  </si>
  <si>
    <t>ENSG00000227014.6</t>
  </si>
  <si>
    <t>AC007285.1</t>
  </si>
  <si>
    <t>ENSG00000229358.3</t>
  </si>
  <si>
    <t>DPY19L1P1</t>
  </si>
  <si>
    <t>ENSG00000271117.1</t>
  </si>
  <si>
    <t>AC078841.1</t>
  </si>
  <si>
    <t>ENSG00000106536.19</t>
  </si>
  <si>
    <t>POU6F2</t>
  </si>
  <si>
    <t>ENSG00000002746.15</t>
  </si>
  <si>
    <t>HECW1</t>
  </si>
  <si>
    <t>ENSG00000235314.1</t>
  </si>
  <si>
    <t>LINC00957</t>
  </si>
  <si>
    <t>ENSG00000228653.2</t>
  </si>
  <si>
    <t>HNRNPCP7</t>
  </si>
  <si>
    <t>ENSG00000152926.14</t>
  </si>
  <si>
    <t>ZNF117</t>
  </si>
  <si>
    <t>ENSG00000213462.5</t>
  </si>
  <si>
    <t>ERV3-1</t>
  </si>
  <si>
    <t>ENSG00000275833.1</t>
  </si>
  <si>
    <t>AC073107.2</t>
  </si>
  <si>
    <t>ENSG00000158517.13</t>
  </si>
  <si>
    <t>NCF1</t>
  </si>
  <si>
    <t>ENSG00000230882.1</t>
  </si>
  <si>
    <t>AC005077.4</t>
  </si>
  <si>
    <t>ENSG00000251798.1</t>
  </si>
  <si>
    <t>RNU6-863P</t>
  </si>
  <si>
    <t>ENSG00000227038.3</t>
  </si>
  <si>
    <t>GTF2IP7</t>
  </si>
  <si>
    <t>ENSG00000188372.15</t>
  </si>
  <si>
    <t>ZP3</t>
  </si>
  <si>
    <t>ENSG00000186704.9</t>
  </si>
  <si>
    <t>DTX2P1</t>
  </si>
  <si>
    <t>ENSG00000234456.7</t>
  </si>
  <si>
    <t>MAGI2-AS3</t>
  </si>
  <si>
    <t>ENSG00000075213.11</t>
  </si>
  <si>
    <t>SEMA3A</t>
  </si>
  <si>
    <t>ENSG00000058091.17</t>
  </si>
  <si>
    <t>CDK14</t>
  </si>
  <si>
    <t>ENSG00000157240.3</t>
  </si>
  <si>
    <t>FZD1</t>
  </si>
  <si>
    <t>ENSG00000177409.12</t>
  </si>
  <si>
    <t>SAMD9L</t>
  </si>
  <si>
    <t>ENSG00000242265.5</t>
  </si>
  <si>
    <t>PEG10</t>
  </si>
  <si>
    <t>ENSG00000279525.1</t>
  </si>
  <si>
    <t>AC002451.2</t>
  </si>
  <si>
    <t>ENSG00000158560.14</t>
  </si>
  <si>
    <t>DYNC1I1</t>
  </si>
  <si>
    <t>ENSG00000284707.1</t>
  </si>
  <si>
    <t>AC079781.5</t>
  </si>
  <si>
    <t>ENSG00000185467.7</t>
  </si>
  <si>
    <t>KPNA7</t>
  </si>
  <si>
    <t>ENSG00000106351.13</t>
  </si>
  <si>
    <t>AGFG2</t>
  </si>
  <si>
    <t>ENSG00000087077.14</t>
  </si>
  <si>
    <t>TRIP6</t>
  </si>
  <si>
    <t>ENSG00000169894.18</t>
  </si>
  <si>
    <t>MUC3A</t>
  </si>
  <si>
    <t>ENSG00000160963.14</t>
  </si>
  <si>
    <t>COL26A1</t>
  </si>
  <si>
    <t>ENSG00000244490.1</t>
  </si>
  <si>
    <t>RWDD4P1</t>
  </si>
  <si>
    <t>ENSG00000253276.3</t>
  </si>
  <si>
    <t>CCDC71L</t>
  </si>
  <si>
    <t>ENSG00000272072.1</t>
  </si>
  <si>
    <t>AC004492.1</t>
  </si>
  <si>
    <t>ENSG00000091128.13</t>
  </si>
  <si>
    <t>LAMB4</t>
  </si>
  <si>
    <t>ENSG00000184408.10</t>
  </si>
  <si>
    <t>KCND2</t>
  </si>
  <si>
    <t>ENSG00000196937.11</t>
  </si>
  <si>
    <t>FAM3C</t>
  </si>
  <si>
    <t>ENSG00000179603.17</t>
  </si>
  <si>
    <t>GRM8</t>
  </si>
  <si>
    <t>ENSG00000224940.8</t>
  </si>
  <si>
    <t>PRRT4</t>
  </si>
  <si>
    <t>ENSG00000272899.4</t>
  </si>
  <si>
    <t>ATP6V1FNB</t>
  </si>
  <si>
    <t>ENSG00000242078.1</t>
  </si>
  <si>
    <t>AC084864.1</t>
  </si>
  <si>
    <t>ENSG00000158516.12</t>
  </si>
  <si>
    <t>CPA2</t>
  </si>
  <si>
    <t>ENSG00000254270.1</t>
  </si>
  <si>
    <t>ERHP1</t>
  </si>
  <si>
    <t>ENSG00000106123.12</t>
  </si>
  <si>
    <t>EPHB6</t>
  </si>
  <si>
    <t>ENSG00000178826.11</t>
  </si>
  <si>
    <t>TMEM139</t>
  </si>
  <si>
    <t>ENSG00000213215.5</t>
  </si>
  <si>
    <t>OR2F1</t>
  </si>
  <si>
    <t>ENSG00000199370.2</t>
  </si>
  <si>
    <t>ENSG00000261305.2</t>
  </si>
  <si>
    <t>AC005586.2</t>
  </si>
  <si>
    <t>ENSG00000244151.1</t>
  </si>
  <si>
    <t>AC010973.2</t>
  </si>
  <si>
    <t>ENSG00000164900.4</t>
  </si>
  <si>
    <t>GBX1</t>
  </si>
  <si>
    <t>ENSG00000130675.15</t>
  </si>
  <si>
    <t>MNX1</t>
  </si>
  <si>
    <t>ENSG00000155093.19</t>
  </si>
  <si>
    <t>PTPRN2</t>
  </si>
  <si>
    <t>ENSG00000282021.1</t>
  </si>
  <si>
    <t>AC100810.3</t>
  </si>
  <si>
    <t>ENSG00000164821.4</t>
  </si>
  <si>
    <t>DEFA4</t>
  </si>
  <si>
    <t>ENSG00000223629.1</t>
  </si>
  <si>
    <t>DEFA8P</t>
  </si>
  <si>
    <t>ENSG00000233238.1</t>
  </si>
  <si>
    <t>DEFA9P</t>
  </si>
  <si>
    <t>ENSG00000233531.1</t>
  </si>
  <si>
    <t>DEFA10P</t>
  </si>
  <si>
    <t>ENSG00000233609.3</t>
  </si>
  <si>
    <t>RPL10P19</t>
  </si>
  <si>
    <t>ENSG00000171044.10</t>
  </si>
  <si>
    <t>XKR6</t>
  </si>
  <si>
    <t>ENSG00000154319.16</t>
  </si>
  <si>
    <t>FAM167A</t>
  </si>
  <si>
    <t>ENSG00000104723.20</t>
  </si>
  <si>
    <t>TUSC3</t>
  </si>
  <si>
    <t>ENSG00000104760.17</t>
  </si>
  <si>
    <t>FGL1</t>
  </si>
  <si>
    <t>ENSG00000254054.2</t>
  </si>
  <si>
    <t>AC087273.2</t>
  </si>
  <si>
    <t>ENSG00000254064.1</t>
  </si>
  <si>
    <t>AC105206.2</t>
  </si>
  <si>
    <t>ENSG00000189233.12</t>
  </si>
  <si>
    <t>NUGGC</t>
  </si>
  <si>
    <t>ENSG00000246339.5</t>
  </si>
  <si>
    <t>EXTL3-AS1</t>
  </si>
  <si>
    <t>ENSG00000156687.11</t>
  </si>
  <si>
    <t>UNC5D</t>
  </si>
  <si>
    <t>ENSG00000253361.2</t>
  </si>
  <si>
    <t>AC069120.1</t>
  </si>
  <si>
    <t>ENSG00000147526.20</t>
  </si>
  <si>
    <t>TACC1</t>
  </si>
  <si>
    <t>ENSG00000248531.3</t>
  </si>
  <si>
    <t>NDUFA5P12</t>
  </si>
  <si>
    <t>ENSG00000196711.9</t>
  </si>
  <si>
    <t>ALKAL1</t>
  </si>
  <si>
    <t>ENSG00000228862.4</t>
  </si>
  <si>
    <t>AC068389.1</t>
  </si>
  <si>
    <t>ENSG00000198363.18</t>
  </si>
  <si>
    <t>ASPH</t>
  </si>
  <si>
    <t>ENSG00000185697.16</t>
  </si>
  <si>
    <t>MYBL1</t>
  </si>
  <si>
    <t>ENSG00000104313.19</t>
  </si>
  <si>
    <t>EYA1</t>
  </si>
  <si>
    <t>ENSG00000154589.6</t>
  </si>
  <si>
    <t>LY96</t>
  </si>
  <si>
    <t>ENSG00000121005.9</t>
  </si>
  <si>
    <t>CRISPLD1</t>
  </si>
  <si>
    <t>ENSG00000164683.17</t>
  </si>
  <si>
    <t>HEY1</t>
  </si>
  <si>
    <t>ENSG00000076554.15</t>
  </si>
  <si>
    <t>TPD52</t>
  </si>
  <si>
    <t>ENSG00000260317.1</t>
  </si>
  <si>
    <t>AC009812.4</t>
  </si>
  <si>
    <t>ENSG00000164879.7</t>
  </si>
  <si>
    <t>CA3</t>
  </si>
  <si>
    <t>ENSG00000104267.10</t>
  </si>
  <si>
    <t>CA2</t>
  </si>
  <si>
    <t>ENSG00000132561.14</t>
  </si>
  <si>
    <t>MATN2</t>
  </si>
  <si>
    <t>ENSG00000104490.18</t>
  </si>
  <si>
    <t>NCALD</t>
  </si>
  <si>
    <t>ENSG00000283959.1</t>
  </si>
  <si>
    <t>AP002851.1</t>
  </si>
  <si>
    <t>ENSG00000147650.11</t>
  </si>
  <si>
    <t>LRP12</t>
  </si>
  <si>
    <t>ENSG00000251003.8</t>
  </si>
  <si>
    <t>ZFPM2-AS1</t>
  </si>
  <si>
    <t>ENSG00000147642.17</t>
  </si>
  <si>
    <t>SYBU</t>
  </si>
  <si>
    <t>ENSG00000172164.15</t>
  </si>
  <si>
    <t>SNTB1</t>
  </si>
  <si>
    <t>ENSG00000170873.18</t>
  </si>
  <si>
    <t>MTSS1</t>
  </si>
  <si>
    <t>ENSG00000254389.3</t>
  </si>
  <si>
    <t>RHPN1-AS1</t>
  </si>
  <si>
    <t>ENSG00000255050.1</t>
  </si>
  <si>
    <t>AC067930.4</t>
  </si>
  <si>
    <t>ENSG00000261678.3</t>
  </si>
  <si>
    <t>SCRT1</t>
  </si>
  <si>
    <t>ENSG00000107077.18</t>
  </si>
  <si>
    <t>KDM4C</t>
  </si>
  <si>
    <t>ENSG00000283647.1</t>
  </si>
  <si>
    <t>AL512643.1</t>
  </si>
  <si>
    <t>ENSG00000272842.1</t>
  </si>
  <si>
    <t>AL391834.1</t>
  </si>
  <si>
    <t>ENSG00000227071.1</t>
  </si>
  <si>
    <t>FOCAD-AS1</t>
  </si>
  <si>
    <t>ENSG00000234840.1</t>
  </si>
  <si>
    <t>LINC01239</t>
  </si>
  <si>
    <t>ENSG00000231991.4</t>
  </si>
  <si>
    <t>ANXA2P2</t>
  </si>
  <si>
    <t>ENSG00000164976.9</t>
  </si>
  <si>
    <t>MYORG</t>
  </si>
  <si>
    <t>ENSG00000205143.2</t>
  </si>
  <si>
    <t>ARID3C</t>
  </si>
  <si>
    <t>ENSG00000187186.14</t>
  </si>
  <si>
    <t>AL162231.1</t>
  </si>
  <si>
    <t>ENSG00000234160.1</t>
  </si>
  <si>
    <t>AL513165.1</t>
  </si>
  <si>
    <t>ENSG00000184906.11</t>
  </si>
  <si>
    <t>AMYH02020865.1</t>
  </si>
  <si>
    <t>ENSG00000154529.14</t>
  </si>
  <si>
    <t>CNTNAP3B</t>
  </si>
  <si>
    <t>ENSG00000236816.2</t>
  </si>
  <si>
    <t>ANKRD20A7P</t>
  </si>
  <si>
    <t>ENSG00000170165.5</t>
  </si>
  <si>
    <t>CR848007.1</t>
  </si>
  <si>
    <t>ENSG00000230635.2</t>
  </si>
  <si>
    <t>CYP4F60P</t>
  </si>
  <si>
    <t>ENSG00000276591.1</t>
  </si>
  <si>
    <t>GXYLT1P5</t>
  </si>
  <si>
    <t>ENSG00000186466.5</t>
  </si>
  <si>
    <t>AQP7P1</t>
  </si>
  <si>
    <t>ENSG00000181997.8</t>
  </si>
  <si>
    <t>AQP7P2</t>
  </si>
  <si>
    <t>ENSG00000280286.1</t>
  </si>
  <si>
    <t>FRG1KP</t>
  </si>
  <si>
    <t>ENSG00000235523.1</t>
  </si>
  <si>
    <t>AL135924.2</t>
  </si>
  <si>
    <t>ENSG00000233926.1</t>
  </si>
  <si>
    <t>AL591368.1</t>
  </si>
  <si>
    <t>ENSG00000278988.1</t>
  </si>
  <si>
    <t>AL356490.1</t>
  </si>
  <si>
    <t>ENSG00000130958.13</t>
  </si>
  <si>
    <t>SLC35D2</t>
  </si>
  <si>
    <t>ENSG00000136943.11</t>
  </si>
  <si>
    <t>CTSV</t>
  </si>
  <si>
    <t>ENSG00000228376.3</t>
  </si>
  <si>
    <t>GAS2L1P2</t>
  </si>
  <si>
    <t>ENSG00000106789.13</t>
  </si>
  <si>
    <t>CORO2A</t>
  </si>
  <si>
    <t>ENSG00000241697.5</t>
  </si>
  <si>
    <t>TMEFF1</t>
  </si>
  <si>
    <t>ENSG00000170681.6</t>
  </si>
  <si>
    <t>CAVIN4</t>
  </si>
  <si>
    <t>ENSG00000165124.18</t>
  </si>
  <si>
    <t>SVEP1</t>
  </si>
  <si>
    <t>ENSG00000228623.6</t>
  </si>
  <si>
    <t>ZNF883</t>
  </si>
  <si>
    <t>ENSG00000138835.22</t>
  </si>
  <si>
    <t>RGS3</t>
  </si>
  <si>
    <t>ENSG00000056558.11</t>
  </si>
  <si>
    <t>TRAF1</t>
  </si>
  <si>
    <t>ENSG00000185585.20</t>
  </si>
  <si>
    <t>OLFML2A</t>
  </si>
  <si>
    <t>ENSG00000271833.1</t>
  </si>
  <si>
    <t>AL445222.1</t>
  </si>
  <si>
    <t>ENSG00000167103.12</t>
  </si>
  <si>
    <t>PIP5KL1</t>
  </si>
  <si>
    <t>ENSG00000148346.12</t>
  </si>
  <si>
    <t>LCN2</t>
  </si>
  <si>
    <t>ENSG00000106976.20</t>
  </si>
  <si>
    <t>DNM1</t>
  </si>
  <si>
    <t>ENSG00000196358.11</t>
  </si>
  <si>
    <t>NTNG2</t>
  </si>
  <si>
    <t>ENSG00000233198.3</t>
  </si>
  <si>
    <t>RNF224</t>
  </si>
  <si>
    <t>ENSG00000198569.9</t>
  </si>
  <si>
    <t>SLC34A3</t>
  </si>
  <si>
    <t>ENSG00000067057.17</t>
  </si>
  <si>
    <t>PFKP</t>
  </si>
  <si>
    <t>ENSG00000215267.8</t>
  </si>
  <si>
    <t>AKR1C7P</t>
  </si>
  <si>
    <t>ENSG00000231483.1</t>
  </si>
  <si>
    <t>AL365356.4</t>
  </si>
  <si>
    <t>ENSG00000134461.16</t>
  </si>
  <si>
    <t>ANKRD16</t>
  </si>
  <si>
    <t>ENSG00000107485.17</t>
  </si>
  <si>
    <t>GATA3</t>
  </si>
  <si>
    <t>ENSG00000197308.9</t>
  </si>
  <si>
    <t>GATA3-AS1</t>
  </si>
  <si>
    <t>ENSG00000204682.6</t>
  </si>
  <si>
    <t>CASC10</t>
  </si>
  <si>
    <t>ENSG00000222071.1</t>
  </si>
  <si>
    <t>MIR1915</t>
  </si>
  <si>
    <t>ENSG00000283709.1</t>
  </si>
  <si>
    <t>FAM238C</t>
  </si>
  <si>
    <t>ENSG00000230445.4</t>
  </si>
  <si>
    <t>LRRC37A6P</t>
  </si>
  <si>
    <t>ENSG00000177283.7</t>
  </si>
  <si>
    <t>FZD8</t>
  </si>
  <si>
    <t>ENSG00000185904.11</t>
  </si>
  <si>
    <t>LINC00839</t>
  </si>
  <si>
    <t>ENSG00000259869.2</t>
  </si>
  <si>
    <t>AL022344.1</t>
  </si>
  <si>
    <t>ENSG00000165731.19</t>
  </si>
  <si>
    <t>RET</t>
  </si>
  <si>
    <t>ENSG00000237590.1</t>
  </si>
  <si>
    <t>AL137026.2</t>
  </si>
  <si>
    <t>ENSG00000165507.8</t>
  </si>
  <si>
    <t>DEPP1</t>
  </si>
  <si>
    <t>ENSG00000264404.2</t>
  </si>
  <si>
    <t>BX547991.1</t>
  </si>
  <si>
    <t>ENSG00000165471.6</t>
  </si>
  <si>
    <t>MBL2</t>
  </si>
  <si>
    <t>ENSG00000171988.19</t>
  </si>
  <si>
    <t>JMJD1C</t>
  </si>
  <si>
    <t>ENSG00000108176.15</t>
  </si>
  <si>
    <t>DNAJC12</t>
  </si>
  <si>
    <t>ENSG00000075073.14</t>
  </si>
  <si>
    <t>TACR2</t>
  </si>
  <si>
    <t>ENSG00000171224.9</t>
  </si>
  <si>
    <t>FAM241B</t>
  </si>
  <si>
    <t>ENSG00000138315.13</t>
  </si>
  <si>
    <t>OIT3</t>
  </si>
  <si>
    <t>ENSG00000133678.14</t>
  </si>
  <si>
    <t>TMEM254</t>
  </si>
  <si>
    <t>ENSG00000173267.14</t>
  </si>
  <si>
    <t>SNCG</t>
  </si>
  <si>
    <t>ENSG00000119922.10</t>
  </si>
  <si>
    <t>IFIT2</t>
  </si>
  <si>
    <t>ENSG00000107864.15</t>
  </si>
  <si>
    <t>CPEB3</t>
  </si>
  <si>
    <t>ENSG00000108231.13</t>
  </si>
  <si>
    <t>LGI1</t>
  </si>
  <si>
    <t>ENSG00000108242.13</t>
  </si>
  <si>
    <t>CYP2C18</t>
  </si>
  <si>
    <t>ENSG00000095587.9</t>
  </si>
  <si>
    <t>TLL2</t>
  </si>
  <si>
    <t>ENSG00000225850.3</t>
  </si>
  <si>
    <t>AL355490.1</t>
  </si>
  <si>
    <t>ENSG00000241935.9</t>
  </si>
  <si>
    <t>HOGA1</t>
  </si>
  <si>
    <t>ENSG00000120057.5</t>
  </si>
  <si>
    <t>SFRP5</t>
  </si>
  <si>
    <t>ENSG00000107819.13</t>
  </si>
  <si>
    <t>SFXN3</t>
  </si>
  <si>
    <t>ENSG00000227128.4</t>
  </si>
  <si>
    <t>LBX1-AS1</t>
  </si>
  <si>
    <t>ENSG00000107859.10</t>
  </si>
  <si>
    <t>PITX3</t>
  </si>
  <si>
    <t>ENSG00000273108.1</t>
  </si>
  <si>
    <t>AL121929.2</t>
  </si>
  <si>
    <t>ENSG00000119913.5</t>
  </si>
  <si>
    <t>TECTB</t>
  </si>
  <si>
    <t>ENSG00000243316.7</t>
  </si>
  <si>
    <t>GUCY2GP</t>
  </si>
  <si>
    <t>ENSG00000148702.15</t>
  </si>
  <si>
    <t>HABP2</t>
  </si>
  <si>
    <t>ENSG00000188613.7</t>
  </si>
  <si>
    <t>NANOS1</t>
  </si>
  <si>
    <t>ENSG00000148908.15</t>
  </si>
  <si>
    <t>RGS10</t>
  </si>
  <si>
    <t>ENSG00000270300.2</t>
  </si>
  <si>
    <t>PHACTR2P1</t>
  </si>
  <si>
    <t>ENSG00000226864.2</t>
  </si>
  <si>
    <t>ATE1-AS1</t>
  </si>
  <si>
    <t>ENSG00000283095.1</t>
  </si>
  <si>
    <t>FP565171.1</t>
  </si>
  <si>
    <t>ENSG00000235010.1</t>
  </si>
  <si>
    <t>AL512622.1</t>
  </si>
  <si>
    <t>ENSG00000171811.14</t>
  </si>
  <si>
    <t>CFAP46</t>
  </si>
  <si>
    <t>ENSG00000151651.16</t>
  </si>
  <si>
    <t>ADAM8</t>
  </si>
  <si>
    <t>ENSG00000255026.1</t>
  </si>
  <si>
    <t>AC136475.3</t>
  </si>
  <si>
    <t>ENSG00000251661.3</t>
  </si>
  <si>
    <t>AC136475.1</t>
  </si>
  <si>
    <t>ENSG00000185187.13</t>
  </si>
  <si>
    <t>SIGIRR</t>
  </si>
  <si>
    <t>ENSG00000254815.5</t>
  </si>
  <si>
    <t>AP006284.1</t>
  </si>
  <si>
    <t>ENSG00000177156.11</t>
  </si>
  <si>
    <t>TALDO1</t>
  </si>
  <si>
    <t>ENSG00000274897.3</t>
  </si>
  <si>
    <t>PANO1</t>
  </si>
  <si>
    <t>ENSG00000205869.2</t>
  </si>
  <si>
    <t>KRTAP5-1</t>
  </si>
  <si>
    <t>ENSG00000167244.20</t>
  </si>
  <si>
    <t>IGF2</t>
  </si>
  <si>
    <t>ENSG00000099869.7</t>
  </si>
  <si>
    <t>IGF2-AS</t>
  </si>
  <si>
    <t>ENSG00000064201.15</t>
  </si>
  <si>
    <t>TSPAN32</t>
  </si>
  <si>
    <t>ENSG00000110628.14</t>
  </si>
  <si>
    <t>SLC22A18</t>
  </si>
  <si>
    <t>ENSG00000166341.8</t>
  </si>
  <si>
    <t>DCHS1</t>
  </si>
  <si>
    <t>ENSG00000183378.11</t>
  </si>
  <si>
    <t>OVCH2</t>
  </si>
  <si>
    <t>ENSG00000176716.5</t>
  </si>
  <si>
    <t>OR10AB1P</t>
  </si>
  <si>
    <t>ENSG00000166402.8</t>
  </si>
  <si>
    <t>TUB</t>
  </si>
  <si>
    <t>ENSG00000175356.13</t>
  </si>
  <si>
    <t>SCUBE2</t>
  </si>
  <si>
    <t>ENSG00000133805.15</t>
  </si>
  <si>
    <t>AMPD3</t>
  </si>
  <si>
    <t>ENSG00000133800.8</t>
  </si>
  <si>
    <t>LYVE1</t>
  </si>
  <si>
    <t>ENSG00000050165.17</t>
  </si>
  <si>
    <t>DKK3</t>
  </si>
  <si>
    <t>ENSG00000175868.14</t>
  </si>
  <si>
    <t>CALCB</t>
  </si>
  <si>
    <t>ENSG00000110693.17</t>
  </si>
  <si>
    <t>SOX6</t>
  </si>
  <si>
    <t>ENSG00000179817.5</t>
  </si>
  <si>
    <t>MRGPRX4</t>
  </si>
  <si>
    <t>ENSG00000110756.17</t>
  </si>
  <si>
    <t>HPS5</t>
  </si>
  <si>
    <t>ENSG00000228061.6</t>
  </si>
  <si>
    <t>AC131571.1</t>
  </si>
  <si>
    <t>ENSG00000007372.22</t>
  </si>
  <si>
    <t>PAX6</t>
  </si>
  <si>
    <t>ENSG00000281880.2</t>
  </si>
  <si>
    <t>PAUPAR</t>
  </si>
  <si>
    <t>ENSG00000121691.6</t>
  </si>
  <si>
    <t>CAT</t>
  </si>
  <si>
    <t>ENSG00000135374.9</t>
  </si>
  <si>
    <t>ELF5</t>
  </si>
  <si>
    <t>ENSG00000179241.13</t>
  </si>
  <si>
    <t>LDLRAD3</t>
  </si>
  <si>
    <t>ENSG00000052850.7</t>
  </si>
  <si>
    <t>ALX4</t>
  </si>
  <si>
    <t>ENSG00000110492.15</t>
  </si>
  <si>
    <t>MDK</t>
  </si>
  <si>
    <t>ENSG00000180720.7</t>
  </si>
  <si>
    <t>CHRM4</t>
  </si>
  <si>
    <t>ENSG00000247675.6</t>
  </si>
  <si>
    <t>LRP4-AS1</t>
  </si>
  <si>
    <t>ENSG00000254602.1</t>
  </si>
  <si>
    <t>AP000662.1</t>
  </si>
  <si>
    <t>ENSG00000183134.5</t>
  </si>
  <si>
    <t>PTGDR2</t>
  </si>
  <si>
    <t>ENSG00000013725.14</t>
  </si>
  <si>
    <t>CD6</t>
  </si>
  <si>
    <t>ENSG00000256713.7</t>
  </si>
  <si>
    <t>PGA5</t>
  </si>
  <si>
    <t>ENSG00000149476.15</t>
  </si>
  <si>
    <t>TKFC</t>
  </si>
  <si>
    <t>ENSG00000011347.9</t>
  </si>
  <si>
    <t>SYT7</t>
  </si>
  <si>
    <t>ENSG00000124915.10</t>
  </si>
  <si>
    <t>AP002380.1</t>
  </si>
  <si>
    <t>ENSG00000134824.14</t>
  </si>
  <si>
    <t>FADS2</t>
  </si>
  <si>
    <t>ENSG00000124935.4</t>
  </si>
  <si>
    <t>SCGB1D2</t>
  </si>
  <si>
    <t>ENSG00000176485.11</t>
  </si>
  <si>
    <t>PLA2G16</t>
  </si>
  <si>
    <t>ENSG00000278952.1</t>
  </si>
  <si>
    <t>AP003068.4</t>
  </si>
  <si>
    <t>ENSG00000175294.5</t>
  </si>
  <si>
    <t>CATSPER1</t>
  </si>
  <si>
    <t>ENSG00000173599.14</t>
  </si>
  <si>
    <t>PC</t>
  </si>
  <si>
    <t>ENSG00000250508.1</t>
  </si>
  <si>
    <t>AP000808.1</t>
  </si>
  <si>
    <t>ENSG00000149243.15</t>
  </si>
  <si>
    <t>KLHL35</t>
  </si>
  <si>
    <t>ENSG00000254933.1</t>
  </si>
  <si>
    <t>AP000785.1</t>
  </si>
  <si>
    <t>ENSG00000255362.1</t>
  </si>
  <si>
    <t>AP000785.2</t>
  </si>
  <si>
    <t>ENSG00000137513.10</t>
  </si>
  <si>
    <t>NARS2</t>
  </si>
  <si>
    <t>ENSG00000280339.1</t>
  </si>
  <si>
    <t>AP001528.3</t>
  </si>
  <si>
    <t>ENSG00000166575.17</t>
  </si>
  <si>
    <t>TMEM135</t>
  </si>
  <si>
    <t>ENSG00000261645.6</t>
  </si>
  <si>
    <t>DISC1FP1</t>
  </si>
  <si>
    <t>ENSG00000250519.6</t>
  </si>
  <si>
    <t>AP002784.1</t>
  </si>
  <si>
    <t>ENSG00000184384.14</t>
  </si>
  <si>
    <t>MAML2</t>
  </si>
  <si>
    <t>ENSG00000137673.9</t>
  </si>
  <si>
    <t>MMP7</t>
  </si>
  <si>
    <t>ENSG00000196954.14</t>
  </si>
  <si>
    <t>CASP4</t>
  </si>
  <si>
    <t>ENSG00000137752.24</t>
  </si>
  <si>
    <t>CASP1</t>
  </si>
  <si>
    <t>ENSG00000285813.1</t>
  </si>
  <si>
    <t>AP000813.1</t>
  </si>
  <si>
    <t>ENSG00000182359.15</t>
  </si>
  <si>
    <t>KBTBD3</t>
  </si>
  <si>
    <t>ENSG00000152402.10</t>
  </si>
  <si>
    <t>GUCY1A2</t>
  </si>
  <si>
    <t>ENSG00000110723.12</t>
  </si>
  <si>
    <t>EXPH5</t>
  </si>
  <si>
    <t>ENSG00000254416.5</t>
  </si>
  <si>
    <t>AP000924.1</t>
  </si>
  <si>
    <t>ENSG00000254990.5</t>
  </si>
  <si>
    <t>AP001781.1</t>
  </si>
  <si>
    <t>ENSG00000149295.14</t>
  </si>
  <si>
    <t>DRD2</t>
  </si>
  <si>
    <t>ENSG00000255710.2</t>
  </si>
  <si>
    <t>AP003170.1</t>
  </si>
  <si>
    <t>ENSG00000180425.11</t>
  </si>
  <si>
    <t>C11orf71</t>
  </si>
  <si>
    <t>ENSG00000255580.1</t>
  </si>
  <si>
    <t>AP000462.1</t>
  </si>
  <si>
    <t>ENSG00000237937.5</t>
  </si>
  <si>
    <t>AP000770.1</t>
  </si>
  <si>
    <t>ENSG00000276505.1</t>
  </si>
  <si>
    <t>AP000892.2</t>
  </si>
  <si>
    <t>ENSG00000160593.18</t>
  </si>
  <si>
    <t>JAML</t>
  </si>
  <si>
    <t>ENSG00000149573.9</t>
  </si>
  <si>
    <t>MPZL2</t>
  </si>
  <si>
    <t>ENSG00000280032.1</t>
  </si>
  <si>
    <t>AP002800.1</t>
  </si>
  <si>
    <t>ENSG00000110375.3</t>
  </si>
  <si>
    <t>UPK2</t>
  </si>
  <si>
    <t>ENSG00000109927.10</t>
  </si>
  <si>
    <t>TECTA</t>
  </si>
  <si>
    <t>ENSG00000246790.2</t>
  </si>
  <si>
    <t>AP000977.1</t>
  </si>
  <si>
    <t>ENSG00000255045.1</t>
  </si>
  <si>
    <t>AP000866.5</t>
  </si>
  <si>
    <t>ENSG00000245498.6</t>
  </si>
  <si>
    <t>AP000866.1</t>
  </si>
  <si>
    <t>ENSG00000187686.4</t>
  </si>
  <si>
    <t>KRT18P59</t>
  </si>
  <si>
    <t>ENSG00000165495.16</t>
  </si>
  <si>
    <t>PKNOX2</t>
  </si>
  <si>
    <t>ENSG00000150455.13</t>
  </si>
  <si>
    <t>TIRAP</t>
  </si>
  <si>
    <t>ENSG00000174370.9</t>
  </si>
  <si>
    <t>C11orf45</t>
  </si>
  <si>
    <t>ENSG00000151715.7</t>
  </si>
  <si>
    <t>TMEM45B</t>
  </si>
  <si>
    <t>ENSG00000250132.6</t>
  </si>
  <si>
    <t>AC004803.1</t>
  </si>
  <si>
    <t>ENSG00000111186.13</t>
  </si>
  <si>
    <t>WNT5B</t>
  </si>
  <si>
    <t>ENSG00000166159.11</t>
  </si>
  <si>
    <t>LRTM2</t>
  </si>
  <si>
    <t>ENSG00000111254.8</t>
  </si>
  <si>
    <t>AKAP3</t>
  </si>
  <si>
    <t>ENSG00000111665.11</t>
  </si>
  <si>
    <t>CDCA3</t>
  </si>
  <si>
    <t>ENSG00000215241.3</t>
  </si>
  <si>
    <t>LINC02449</t>
  </si>
  <si>
    <t>ENSG00000226091.7</t>
  </si>
  <si>
    <t>LINC00937</t>
  </si>
  <si>
    <t>ENSG00000245105.3</t>
  </si>
  <si>
    <t>A2M-AS1</t>
  </si>
  <si>
    <t>ENSG00000278635.1</t>
  </si>
  <si>
    <t>AC141557.2</t>
  </si>
  <si>
    <t>ENSG00000257027.1</t>
  </si>
  <si>
    <t>AC010186.3</t>
  </si>
  <si>
    <t>ENSG00000139112.11</t>
  </si>
  <si>
    <t>GABARAPL1</t>
  </si>
  <si>
    <t>ENSG00000213809.9</t>
  </si>
  <si>
    <t>KLRK1</t>
  </si>
  <si>
    <t>ENSG00000111291.8</t>
  </si>
  <si>
    <t>GPRC5D</t>
  </si>
  <si>
    <t>ENSG00000139055.7</t>
  </si>
  <si>
    <t>ERP27</t>
  </si>
  <si>
    <t>ENSG00000270926.1</t>
  </si>
  <si>
    <t>AC008013.3</t>
  </si>
  <si>
    <t>ENSG00000177359.20</t>
  </si>
  <si>
    <t>AC024940.2</t>
  </si>
  <si>
    <t>ENSG00000177340.5</t>
  </si>
  <si>
    <t>AC024940.1</t>
  </si>
  <si>
    <t>ENSG00000139132.14</t>
  </si>
  <si>
    <t>FGD4</t>
  </si>
  <si>
    <t>ENSG00000188906.16</t>
  </si>
  <si>
    <t>LRRK2</t>
  </si>
  <si>
    <t>ENSG00000139168.8</t>
  </si>
  <si>
    <t>ZCRB1</t>
  </si>
  <si>
    <t>ENSG00000186897.5</t>
  </si>
  <si>
    <t>C1QL4</t>
  </si>
  <si>
    <t>ENSG00000110911.15</t>
  </si>
  <si>
    <t>SLC11A2</t>
  </si>
  <si>
    <t>ENSG00000284730.1</t>
  </si>
  <si>
    <t>AC068987.5</t>
  </si>
  <si>
    <t>ENSG00000172819.17</t>
  </si>
  <si>
    <t>RARG</t>
  </si>
  <si>
    <t>ENSG00000180806.5</t>
  </si>
  <si>
    <t>HOXC9</t>
  </si>
  <si>
    <t>ENSG00000250742.3</t>
  </si>
  <si>
    <t>LINC02381</t>
  </si>
  <si>
    <t>ENSG00000166866.13</t>
  </si>
  <si>
    <t>MYO1A</t>
  </si>
  <si>
    <t>ENSG00000118596.12</t>
  </si>
  <si>
    <t>SLC16A7</t>
  </si>
  <si>
    <t>ENSG00000277945.1</t>
  </si>
  <si>
    <t>AC107308.1</t>
  </si>
  <si>
    <t>ENSG00000247131.5</t>
  </si>
  <si>
    <t>AC025263.1</t>
  </si>
  <si>
    <t>ENSG00000135643.5</t>
  </si>
  <si>
    <t>KCNMB4</t>
  </si>
  <si>
    <t>ENSG00000277247.1</t>
  </si>
  <si>
    <t>AC083809.1</t>
  </si>
  <si>
    <t>ENSG00000175183.10</t>
  </si>
  <si>
    <t>CSRP2</t>
  </si>
  <si>
    <t>ENSG00000274021.1</t>
  </si>
  <si>
    <t>AC024909.1</t>
  </si>
  <si>
    <t>ENSG00000258365.1</t>
  </si>
  <si>
    <t>AC073655.2</t>
  </si>
  <si>
    <t>ENSG00000028203.18</t>
  </si>
  <si>
    <t>VEZT</t>
  </si>
  <si>
    <t>ENSG00000265917.1</t>
  </si>
  <si>
    <t>MIR3685</t>
  </si>
  <si>
    <t>ENSG00000012504.15</t>
  </si>
  <si>
    <t>NR1H4</t>
  </si>
  <si>
    <t>ENSG00000196091.13</t>
  </si>
  <si>
    <t>MYBPC1</t>
  </si>
  <si>
    <t>ENSG00000139351.15</t>
  </si>
  <si>
    <t>SYCP3</t>
  </si>
  <si>
    <t>ENSG00000281344.1</t>
  </si>
  <si>
    <t>HELLPAR</t>
  </si>
  <si>
    <t>ENSG00000017427.16</t>
  </si>
  <si>
    <t>IGF1</t>
  </si>
  <si>
    <t>ENSG00000120820.12</t>
  </si>
  <si>
    <t>GLT8D2</t>
  </si>
  <si>
    <t>ENSG00000256139.2</t>
  </si>
  <si>
    <t>AC007637.1</t>
  </si>
  <si>
    <t>ENSG00000122986.13</t>
  </si>
  <si>
    <t>HVCN1</t>
  </si>
  <si>
    <t>ENSG00000135144.7</t>
  </si>
  <si>
    <t>DTX1</t>
  </si>
  <si>
    <t>ENSG00000170890.14</t>
  </si>
  <si>
    <t>PLA2G1B</t>
  </si>
  <si>
    <t>ENSG00000157782.9</t>
  </si>
  <si>
    <t>CABP1</t>
  </si>
  <si>
    <t>ENSG00000176383.9</t>
  </si>
  <si>
    <t>B3GNT4</t>
  </si>
  <si>
    <t>ENSG00000130783.13</t>
  </si>
  <si>
    <t>CCDC62</t>
  </si>
  <si>
    <t>ENSG00000119242.8</t>
  </si>
  <si>
    <t>CCDC92</t>
  </si>
  <si>
    <t>ENSG00000139364.10</t>
  </si>
  <si>
    <t>TMEM132B</t>
  </si>
  <si>
    <t>ENSG00000253771.6</t>
  </si>
  <si>
    <t>TPTE2P1</t>
  </si>
  <si>
    <t>ENSG00000132932.17</t>
  </si>
  <si>
    <t>ATP8A2</t>
  </si>
  <si>
    <t>ENSG00000073910.21</t>
  </si>
  <si>
    <t>FRY</t>
  </si>
  <si>
    <t>ENSG00000133121.21</t>
  </si>
  <si>
    <t>STARD13</t>
  </si>
  <si>
    <t>ENSG00000183722.9</t>
  </si>
  <si>
    <t>LHFPL6</t>
  </si>
  <si>
    <t>ENSG00000237361.2</t>
  </si>
  <si>
    <t>TUSC8</t>
  </si>
  <si>
    <t>ENSG00000231665.1</t>
  </si>
  <si>
    <t>OGFOD1P1</t>
  </si>
  <si>
    <t>ENSG00000102539.5</t>
  </si>
  <si>
    <t>MLNR</t>
  </si>
  <si>
    <t>ENSG00000136169.16</t>
  </si>
  <si>
    <t>SETDB2</t>
  </si>
  <si>
    <t>ENSG00000253309.6</t>
  </si>
  <si>
    <t>SERPINE3</t>
  </si>
  <si>
    <t>ENSG00000178695.5</t>
  </si>
  <si>
    <t>KCTD12</t>
  </si>
  <si>
    <t>ENSG00000179399.15</t>
  </si>
  <si>
    <t>GPC5</t>
  </si>
  <si>
    <t>ENSG00000223392.1</t>
  </si>
  <si>
    <t>CLDN10-AS1</t>
  </si>
  <si>
    <t>ENSG00000260992.1</t>
  </si>
  <si>
    <t>DOCK9-DT</t>
  </si>
  <si>
    <t>ENSG00000041515.16</t>
  </si>
  <si>
    <t>MYO16</t>
  </si>
  <si>
    <t>ENSG00000187498.16</t>
  </si>
  <si>
    <t>COL4A1</t>
  </si>
  <si>
    <t>ENSG00000057593.13</t>
  </si>
  <si>
    <t>F7</t>
  </si>
  <si>
    <t>ENSG00000222489.1</t>
  </si>
  <si>
    <t>SNORA79B</t>
  </si>
  <si>
    <t>ENSG00000258818.4</t>
  </si>
  <si>
    <t>RNASE4</t>
  </si>
  <si>
    <t>ENSG00000139890.10</t>
  </si>
  <si>
    <t>REM2</t>
  </si>
  <si>
    <t>ENSG00000139880.19</t>
  </si>
  <si>
    <t>CDH24</t>
  </si>
  <si>
    <t>ENSG00000139914.6</t>
  </si>
  <si>
    <t>FITM1</t>
  </si>
  <si>
    <t>ENSG00000092010.15</t>
  </si>
  <si>
    <t>PSME1</t>
  </si>
  <si>
    <t>ENSG00000259529.2</t>
  </si>
  <si>
    <t>AL136295.5</t>
  </si>
  <si>
    <t>ENSG00000092009.10</t>
  </si>
  <si>
    <t>CMA1</t>
  </si>
  <si>
    <t>ENSG00000203546.7</t>
  </si>
  <si>
    <t>AL139353.1</t>
  </si>
  <si>
    <t>ENSG00000206596.1</t>
  </si>
  <si>
    <t>RNU1-27P</t>
  </si>
  <si>
    <t>ENSG00000206588.1</t>
  </si>
  <si>
    <t>RNU1-28P</t>
  </si>
  <si>
    <t>ENSG00000259022.2</t>
  </si>
  <si>
    <t>DNAJC8P1</t>
  </si>
  <si>
    <t>ENSG00000168348.4</t>
  </si>
  <si>
    <t>INSM2</t>
  </si>
  <si>
    <t>ENSG00000174373.16</t>
  </si>
  <si>
    <t>RALGAPA1</t>
  </si>
  <si>
    <t>ENSG00000198807.12</t>
  </si>
  <si>
    <t>PAX9</t>
  </si>
  <si>
    <t>ENSG00000258700.5</t>
  </si>
  <si>
    <t>LINC00871</t>
  </si>
  <si>
    <t>ENSG00000278771.1</t>
  </si>
  <si>
    <t>RN7SL3</t>
  </si>
  <si>
    <t>ENSG00000274012.1</t>
  </si>
  <si>
    <t>RN7SL2</t>
  </si>
  <si>
    <t>ENSG00000261120.1</t>
  </si>
  <si>
    <t>AL133299.1</t>
  </si>
  <si>
    <t>ENSG00000139974.15</t>
  </si>
  <si>
    <t>SLC38A6</t>
  </si>
  <si>
    <t>ENSG00000139988.9</t>
  </si>
  <si>
    <t>RDH12</t>
  </si>
  <si>
    <t>ENSG00000133985.3</t>
  </si>
  <si>
    <t>TTC9</t>
  </si>
  <si>
    <t>ENSG00000251393.3</t>
  </si>
  <si>
    <t>AC005280.1</t>
  </si>
  <si>
    <t>ENSG00000187097.12</t>
  </si>
  <si>
    <t>ENTPD5</t>
  </si>
  <si>
    <t>ENSG00000259319.1</t>
  </si>
  <si>
    <t>AF111167.2</t>
  </si>
  <si>
    <t>ENSG00000266553.2</t>
  </si>
  <si>
    <t>RN7SL356P</t>
  </si>
  <si>
    <t>ENSG00000100593.18</t>
  </si>
  <si>
    <t>ISM2</t>
  </si>
  <si>
    <t>ENSG00000258867.5</t>
  </si>
  <si>
    <t>LINC01146</t>
  </si>
  <si>
    <t>ENSG00000165929.13</t>
  </si>
  <si>
    <t>TC2N</t>
  </si>
  <si>
    <t>ENSG00000175785.13</t>
  </si>
  <si>
    <t>PRIMA1</t>
  </si>
  <si>
    <t>ENSG00000140093.10</t>
  </si>
  <si>
    <t>SERPINA10</t>
  </si>
  <si>
    <t>ENSG00000186910.4</t>
  </si>
  <si>
    <t>SERPINA11</t>
  </si>
  <si>
    <t>ENSG00000165953.9</t>
  </si>
  <si>
    <t>SERPINA12</t>
  </si>
  <si>
    <t>ENSG00000036530.8</t>
  </si>
  <si>
    <t>CYP46A1</t>
  </si>
  <si>
    <t>ENSG00000258982.1</t>
  </si>
  <si>
    <t>AL133523.1</t>
  </si>
  <si>
    <t>ENSG00000258460.1</t>
  </si>
  <si>
    <t>AL355096.1</t>
  </si>
  <si>
    <t>ENSG00000258919.1</t>
  </si>
  <si>
    <t>AL049836.1</t>
  </si>
  <si>
    <t>ENSG00000259088.1</t>
  </si>
  <si>
    <t>AL137779.2</t>
  </si>
  <si>
    <t>ENSG00000213145.9</t>
  </si>
  <si>
    <t>CRIP1</t>
  </si>
  <si>
    <t>ENSG00000276141.4</t>
  </si>
  <si>
    <t>WHAMMP3</t>
  </si>
  <si>
    <t>ENSG00000248334.6</t>
  </si>
  <si>
    <t>WHAMMP2</t>
  </si>
  <si>
    <t>ENSG00000262728.5</t>
  </si>
  <si>
    <t>AC123768.3</t>
  </si>
  <si>
    <t>ENSG00000166923.11</t>
  </si>
  <si>
    <t>GREM1</t>
  </si>
  <si>
    <t>ENSG00000259287.2</t>
  </si>
  <si>
    <t>AC010809.1</t>
  </si>
  <si>
    <t>ENSG00000140323.6</t>
  </si>
  <si>
    <t>DISP2</t>
  </si>
  <si>
    <t>ENSG00000137877.10</t>
  </si>
  <si>
    <t>SPTBN5</t>
  </si>
  <si>
    <t>ENSG00000242028.6</t>
  </si>
  <si>
    <t>HYPK</t>
  </si>
  <si>
    <t>ENSG00000171766.16</t>
  </si>
  <si>
    <t>GATM</t>
  </si>
  <si>
    <t>ENSG00000166147.13</t>
  </si>
  <si>
    <t>FBN1</t>
  </si>
  <si>
    <t>ENSG00000140284.11</t>
  </si>
  <si>
    <t>SLC27A2</t>
  </si>
  <si>
    <t>ENSG00000273674.4</t>
  </si>
  <si>
    <t>AC021752.1</t>
  </si>
  <si>
    <t>ENSG00000140280.14</t>
  </si>
  <si>
    <t>LYSMD2</t>
  </si>
  <si>
    <t>ENSG00000069943.10</t>
  </si>
  <si>
    <t>PIGB</t>
  </si>
  <si>
    <t>ENSG00000171016.12</t>
  </si>
  <si>
    <t>PYGO1</t>
  </si>
  <si>
    <t>ENSG00000285805.1</t>
  </si>
  <si>
    <t>AC012378.2</t>
  </si>
  <si>
    <t>ENSG00000166035.11</t>
  </si>
  <si>
    <t>LIPC</t>
  </si>
  <si>
    <t>ENSG00000140297.13</t>
  </si>
  <si>
    <t>GCNT3</t>
  </si>
  <si>
    <t>ENSG00000182718.16</t>
  </si>
  <si>
    <t>ANXA2</t>
  </si>
  <si>
    <t>ENSG00000234438.4</t>
  </si>
  <si>
    <t>KBTBD13</t>
  </si>
  <si>
    <t>ENSG00000174485.15</t>
  </si>
  <si>
    <t>DENND4A</t>
  </si>
  <si>
    <t>ENSG00000157890.17</t>
  </si>
  <si>
    <t>MEGF11</t>
  </si>
  <si>
    <t>ENSG00000187720.14</t>
  </si>
  <si>
    <t>THSD4</t>
  </si>
  <si>
    <t>ENSG00000175318.12</t>
  </si>
  <si>
    <t>GRAMD2A</t>
  </si>
  <si>
    <t>ENSG00000137817.17</t>
  </si>
  <si>
    <t>PARP6</t>
  </si>
  <si>
    <t>ENSG00000260339.1</t>
  </si>
  <si>
    <t>HEXA-AS1</t>
  </si>
  <si>
    <t>ENSG00000205363.5</t>
  </si>
  <si>
    <t>INSYN1</t>
  </si>
  <si>
    <t>ENSG00000261801.5</t>
  </si>
  <si>
    <t>LOXL1-AS1</t>
  </si>
  <si>
    <t>ENSG00000178718.6</t>
  </si>
  <si>
    <t>RPP25</t>
  </si>
  <si>
    <t>ENSG00000169783.12</t>
  </si>
  <si>
    <t>LINGO1</t>
  </si>
  <si>
    <t>ENSG00000136425.13</t>
  </si>
  <si>
    <t>CIB2</t>
  </si>
  <si>
    <t>ENSG00000140403.12</t>
  </si>
  <si>
    <t>DNAJA4</t>
  </si>
  <si>
    <t>ENSG00000235711.4</t>
  </si>
  <si>
    <t>ANKRD34C</t>
  </si>
  <si>
    <t>ENSG00000103888.17</t>
  </si>
  <si>
    <t>CEMIP</t>
  </si>
  <si>
    <t>ENSG00000274376.4</t>
  </si>
  <si>
    <t>ADAMTS7P1</t>
  </si>
  <si>
    <t>ENSG00000103723.13</t>
  </si>
  <si>
    <t>AP3B2</t>
  </si>
  <si>
    <t>ENSG00000259726.1</t>
  </si>
  <si>
    <t>CSPG4P11</t>
  </si>
  <si>
    <t>ENSG00000259728.5</t>
  </si>
  <si>
    <t>LINC00933</t>
  </si>
  <si>
    <t>ENSG00000197696.10</t>
  </si>
  <si>
    <t>NMB</t>
  </si>
  <si>
    <t>ENSG00000140511.11</t>
  </si>
  <si>
    <t>HAPLN3</t>
  </si>
  <si>
    <t>ENSG00000140545.15</t>
  </si>
  <si>
    <t>MFGE8</t>
  </si>
  <si>
    <t>ENSG00000185518.11</t>
  </si>
  <si>
    <t>SV2B</t>
  </si>
  <si>
    <t>ENSG00000176463.14</t>
  </si>
  <si>
    <t>SLCO3A1</t>
  </si>
  <si>
    <t>ENSG00000258527.1</t>
  </si>
  <si>
    <t>ASB9P1</t>
  </si>
  <si>
    <t>ENSG00000257060.6</t>
  </si>
  <si>
    <t>AC091078.1</t>
  </si>
  <si>
    <t>ENSG00000182253.14</t>
  </si>
  <si>
    <t>SYNM</t>
  </si>
  <si>
    <t>ENSG00000140470.14</t>
  </si>
  <si>
    <t>ADAMTS17</t>
  </si>
  <si>
    <t>ENSG00000279970.1</t>
  </si>
  <si>
    <t>AC023024.2</t>
  </si>
  <si>
    <t>ENSG00000282793.1</t>
  </si>
  <si>
    <t>AC090164.4</t>
  </si>
  <si>
    <t>ENSG00000185615.15</t>
  </si>
  <si>
    <t>PDIA2</t>
  </si>
  <si>
    <t>ENSG00000127585.12</t>
  </si>
  <si>
    <t>FBXL16</t>
  </si>
  <si>
    <t>ENSG00000102854.16</t>
  </si>
  <si>
    <t>MSLN</t>
  </si>
  <si>
    <t>ENSG00000116176.6</t>
  </si>
  <si>
    <t>TPSG1</t>
  </si>
  <si>
    <t>ENSG00000260051.1</t>
  </si>
  <si>
    <t>AL031600.1</t>
  </si>
  <si>
    <t>ENSG00000183971.8</t>
  </si>
  <si>
    <t>NPW</t>
  </si>
  <si>
    <t>ENSG00000065057.8</t>
  </si>
  <si>
    <t>NTHL1</t>
  </si>
  <si>
    <t>ENSG00000276791.1</t>
  </si>
  <si>
    <t>AC092117.1</t>
  </si>
  <si>
    <t>ENSG00000162078.11</t>
  </si>
  <si>
    <t>ZG16B</t>
  </si>
  <si>
    <t>ENSG00000274367.1</t>
  </si>
  <si>
    <t>AC004233.4</t>
  </si>
  <si>
    <t>ENSG00000272079.2</t>
  </si>
  <si>
    <t>AC004233.3</t>
  </si>
  <si>
    <t>ENSG00000184697.7</t>
  </si>
  <si>
    <t>CLDN6</t>
  </si>
  <si>
    <t>ENSG00000262370.5</t>
  </si>
  <si>
    <t>AC108134.3</t>
  </si>
  <si>
    <t>ENSG00000130182.8</t>
  </si>
  <si>
    <t>ZSCAN10</t>
  </si>
  <si>
    <t>ENSG00000168140.5</t>
  </si>
  <si>
    <t>VASN</t>
  </si>
  <si>
    <t>ENSG00000277170.1</t>
  </si>
  <si>
    <t>AC012676.3</t>
  </si>
  <si>
    <t>ENSG00000103489.11</t>
  </si>
  <si>
    <t>XYLT1</t>
  </si>
  <si>
    <t>ENSG00000260342.2</t>
  </si>
  <si>
    <t>AC138811.2</t>
  </si>
  <si>
    <t>ENSG00000103534.17</t>
  </si>
  <si>
    <t>TMC5</t>
  </si>
  <si>
    <t>ENSG00000183747.12</t>
  </si>
  <si>
    <t>ACSM2A</t>
  </si>
  <si>
    <t>ENSG00000260762.1</t>
  </si>
  <si>
    <t>ACSM5P1</t>
  </si>
  <si>
    <t>ENSG00000261266.2</t>
  </si>
  <si>
    <t>AC008870.3</t>
  </si>
  <si>
    <t>ENSG00000182601.7</t>
  </si>
  <si>
    <t>HS3ST4</t>
  </si>
  <si>
    <t>ENSG00000250982.2</t>
  </si>
  <si>
    <t>GAPDHP35</t>
  </si>
  <si>
    <t>ENSG00000198156.10</t>
  </si>
  <si>
    <t>NPIPB6</t>
  </si>
  <si>
    <t>ENSG00000197471.12</t>
  </si>
  <si>
    <t>SPN</t>
  </si>
  <si>
    <t>ENSG00000197162.9</t>
  </si>
  <si>
    <t>ZNF785</t>
  </si>
  <si>
    <t>ENSG00000156886.11</t>
  </si>
  <si>
    <t>ITGAD</t>
  </si>
  <si>
    <t>ENSG00000261727.2</t>
  </si>
  <si>
    <t>AC142381.4</t>
  </si>
  <si>
    <t>ENSG00000259882.2</t>
  </si>
  <si>
    <t>AC142384.1</t>
  </si>
  <si>
    <t>ENSG00000260308.1</t>
  </si>
  <si>
    <t>AC136428.2</t>
  </si>
  <si>
    <t>ENSG00000261173.1</t>
  </si>
  <si>
    <t>AC018845.3</t>
  </si>
  <si>
    <t>ENSG00000102893.16</t>
  </si>
  <si>
    <t>PHKB</t>
  </si>
  <si>
    <t>ENSG00000260249.2</t>
  </si>
  <si>
    <t>AC007608.3</t>
  </si>
  <si>
    <t>ENSG00000103546.18</t>
  </si>
  <si>
    <t>SLC6A2</t>
  </si>
  <si>
    <t>ENSG00000278928.1</t>
  </si>
  <si>
    <t>AC136621.1</t>
  </si>
  <si>
    <t>ENSG00000140853.15</t>
  </si>
  <si>
    <t>NLRC5</t>
  </si>
  <si>
    <t>ENSG00000260828.1</t>
  </si>
  <si>
    <t>HMGB3P32</t>
  </si>
  <si>
    <t>ENSG00000103034.14</t>
  </si>
  <si>
    <t>NDRG4</t>
  </si>
  <si>
    <t>ENSG00000261807.2</t>
  </si>
  <si>
    <t>LINC02141</t>
  </si>
  <si>
    <t>ENSG00000150394.14</t>
  </si>
  <si>
    <t>CDH8</t>
  </si>
  <si>
    <t>ENSG00000166589.13</t>
  </si>
  <si>
    <t>CDH16</t>
  </si>
  <si>
    <t>ENSG00000176387.7</t>
  </si>
  <si>
    <t>HSD11B2</t>
  </si>
  <si>
    <t>ENSG00000261469.1</t>
  </si>
  <si>
    <t>AC020978.4</t>
  </si>
  <si>
    <t>ENSG00000103056.12</t>
  </si>
  <si>
    <t>SMPD3</t>
  </si>
  <si>
    <t>ENSG00000279693.1</t>
  </si>
  <si>
    <t>AC099521.2</t>
  </si>
  <si>
    <t>ENSG00000274698.1</t>
  </si>
  <si>
    <t>AC099521.1</t>
  </si>
  <si>
    <t>ENSG00000260290.2</t>
  </si>
  <si>
    <t>AC092115.1</t>
  </si>
  <si>
    <t>ENSG00000157335.20</t>
  </si>
  <si>
    <t>CLEC18C</t>
  </si>
  <si>
    <t>ENSG00000261556.9</t>
  </si>
  <si>
    <t>SMG1P7</t>
  </si>
  <si>
    <t>ENSG00000257017.8</t>
  </si>
  <si>
    <t>HP</t>
  </si>
  <si>
    <t>ENSG00000261701.7</t>
  </si>
  <si>
    <t>HPR</t>
  </si>
  <si>
    <t>ENSG00000261079.1</t>
  </si>
  <si>
    <t>AC009053.2</t>
  </si>
  <si>
    <t>ENSG00000168925.11</t>
  </si>
  <si>
    <t>CTRB1</t>
  </si>
  <si>
    <t>ENSG00000260876.5</t>
  </si>
  <si>
    <t>LINC01229</t>
  </si>
  <si>
    <t>ENSG00000166446.15</t>
  </si>
  <si>
    <t>CDYL2</t>
  </si>
  <si>
    <t>ENSG00000166473.17</t>
  </si>
  <si>
    <t>PKD1L2</t>
  </si>
  <si>
    <t>ENSG00000269901.1</t>
  </si>
  <si>
    <t>AC010531.5</t>
  </si>
  <si>
    <t>ENSG00000015413.9</t>
  </si>
  <si>
    <t>DPEP1</t>
  </si>
  <si>
    <t>ENSG00000273172.1</t>
  </si>
  <si>
    <t>LINC02091</t>
  </si>
  <si>
    <t>ENSG00000262294.1</t>
  </si>
  <si>
    <t>AC129507.2</t>
  </si>
  <si>
    <t>ENSG00000231784.8</t>
  </si>
  <si>
    <t>DBIL5P</t>
  </si>
  <si>
    <t>ENSG00000185924.7</t>
  </si>
  <si>
    <t>RTN4RL1</t>
  </si>
  <si>
    <t>ENSG00000177374.13</t>
  </si>
  <si>
    <t>HIC1</t>
  </si>
  <si>
    <t>ENSG00000240898.1</t>
  </si>
  <si>
    <t>AC132942.1</t>
  </si>
  <si>
    <t>ENSG00000108405.4</t>
  </si>
  <si>
    <t>P2RX1</t>
  </si>
  <si>
    <t>ENSG00000188176.12</t>
  </si>
  <si>
    <t>SMTNL2</t>
  </si>
  <si>
    <t>ENSG00000142484.7</t>
  </si>
  <si>
    <t>TM4SF5</t>
  </si>
  <si>
    <t>ENSG00000182853.12</t>
  </si>
  <si>
    <t>VMO1</t>
  </si>
  <si>
    <t>ENSG00000282936.1</t>
  </si>
  <si>
    <t>AC004706.3</t>
  </si>
  <si>
    <t>ENSG00000141505.12</t>
  </si>
  <si>
    <t>ASGR1</t>
  </si>
  <si>
    <t>ENSG00000169992.10</t>
  </si>
  <si>
    <t>NLGN2</t>
  </si>
  <si>
    <t>ENSG00000141506.13</t>
  </si>
  <si>
    <t>PIK3R5</t>
  </si>
  <si>
    <t>ENSG00000125414.19</t>
  </si>
  <si>
    <t>MYH2</t>
  </si>
  <si>
    <t>ENSG00000259024.6</t>
  </si>
  <si>
    <t>TVP23C-CDRT4</t>
  </si>
  <si>
    <t>ENSG00000141040.15</t>
  </si>
  <si>
    <t>ZNF287</t>
  </si>
  <si>
    <t>ENSG00000128438.10</t>
  </si>
  <si>
    <t>TBC1D27P</t>
  </si>
  <si>
    <t>ENSG00000205309.14</t>
  </si>
  <si>
    <t>NT5M</t>
  </si>
  <si>
    <t>ENSG00000168961.17</t>
  </si>
  <si>
    <t>LGALS9</t>
  </si>
  <si>
    <t>ENSG00000007171.17</t>
  </si>
  <si>
    <t>NOS2</t>
  </si>
  <si>
    <t>ENSG00000267729.1</t>
  </si>
  <si>
    <t>AC010761.7</t>
  </si>
  <si>
    <t>ENSG00000168792.5</t>
  </si>
  <si>
    <t>ABHD15</t>
  </si>
  <si>
    <t>ENSG00000198720.13</t>
  </si>
  <si>
    <t>ANKRD13B</t>
  </si>
  <si>
    <t>ENSG00000184060.11</t>
  </si>
  <si>
    <t>ADAP2</t>
  </si>
  <si>
    <t>ENSG00000264107.1</t>
  </si>
  <si>
    <t>AC138207.2</t>
  </si>
  <si>
    <t>ENSG00000141314.13</t>
  </si>
  <si>
    <t>RHBDL3</t>
  </si>
  <si>
    <t>ENSG00000092871.16</t>
  </si>
  <si>
    <t>RFFL</t>
  </si>
  <si>
    <t>ENSG00000166750.10</t>
  </si>
  <si>
    <t>SLFN5</t>
  </si>
  <si>
    <t>ENSG00000267312.1</t>
  </si>
  <si>
    <t>AC015911.4</t>
  </si>
  <si>
    <t>ENSG00000271447.6</t>
  </si>
  <si>
    <t>MMP28</t>
  </si>
  <si>
    <t>ENSG00000275152.5</t>
  </si>
  <si>
    <t>CCL16</t>
  </si>
  <si>
    <t>ENSG00000275431.1</t>
  </si>
  <si>
    <t>AC244100.2</t>
  </si>
  <si>
    <t>ENSG00000275718.2</t>
  </si>
  <si>
    <t>CCL15</t>
  </si>
  <si>
    <t>ENSG00000275944.1</t>
  </si>
  <si>
    <t>AC244100.3</t>
  </si>
  <si>
    <t>ENSG00000278690.1</t>
  </si>
  <si>
    <t>AC244100.4</t>
  </si>
  <si>
    <t>ENSG00000274736.5</t>
  </si>
  <si>
    <t>CCL23</t>
  </si>
  <si>
    <t>ENSG00000274620.1</t>
  </si>
  <si>
    <t>MIR378J</t>
  </si>
  <si>
    <t>ENSG00000277399.4</t>
  </si>
  <si>
    <t>GPR179</t>
  </si>
  <si>
    <t>ENSG00000273576.1</t>
  </si>
  <si>
    <t>AC009283.1</t>
  </si>
  <si>
    <t>ENSG00000141738.14</t>
  </si>
  <si>
    <t>GRB7</t>
  </si>
  <si>
    <t>ENSG00000264968.1</t>
  </si>
  <si>
    <t>AC090844.2</t>
  </si>
  <si>
    <t>ENSG00000265799.1</t>
  </si>
  <si>
    <t>AC090844.3</t>
  </si>
  <si>
    <t>ENSG00000279199.1</t>
  </si>
  <si>
    <t>AC068669.1</t>
  </si>
  <si>
    <t>ENSG00000266088.5</t>
  </si>
  <si>
    <t>AC004585.1</t>
  </si>
  <si>
    <t>ENSG00000196859.7</t>
  </si>
  <si>
    <t>KRT39</t>
  </si>
  <si>
    <t>ENSG00000173805.15</t>
  </si>
  <si>
    <t>HAP1</t>
  </si>
  <si>
    <t>ENSG00000131482.9</t>
  </si>
  <si>
    <t>G6PC</t>
  </si>
  <si>
    <t>ENSG00000184988.8</t>
  </si>
  <si>
    <t>TMEM106A</t>
  </si>
  <si>
    <t>ENSG00000279602.1</t>
  </si>
  <si>
    <t>AC109326.1</t>
  </si>
  <si>
    <t>ENSG00000260793.2</t>
  </si>
  <si>
    <t>AC003102.1</t>
  </si>
  <si>
    <t>ENSG00000073670.14</t>
  </si>
  <si>
    <t>ADAM11</t>
  </si>
  <si>
    <t>ENSG00000131095.13</t>
  </si>
  <si>
    <t>GFAP</t>
  </si>
  <si>
    <t>ENSG00000131094.4</t>
  </si>
  <si>
    <t>C1QL1</t>
  </si>
  <si>
    <t>ENSG00000236234.1</t>
  </si>
  <si>
    <t>AC091132.2</t>
  </si>
  <si>
    <t>ENSG00000158955.11</t>
  </si>
  <si>
    <t>WNT9B</t>
  </si>
  <si>
    <t>ENSG00000167080.8</t>
  </si>
  <si>
    <t>B4GALNT2</t>
  </si>
  <si>
    <t>ENSG00000006283.18</t>
  </si>
  <si>
    <t>CACNA1G</t>
  </si>
  <si>
    <t>ENSG00000011052.21</t>
  </si>
  <si>
    <t>NME1-NME2</t>
  </si>
  <si>
    <t>ENSG00000279207.1</t>
  </si>
  <si>
    <t>AC015813.6</t>
  </si>
  <si>
    <t>ENSG00000159640.16</t>
  </si>
  <si>
    <t>ACE</t>
  </si>
  <si>
    <t>ENSG00000279369.1</t>
  </si>
  <si>
    <t>AC046185.3</t>
  </si>
  <si>
    <t>ENSG00000239823.2</t>
  </si>
  <si>
    <t>RF00019</t>
  </si>
  <si>
    <t>ENSG00000264057.1</t>
  </si>
  <si>
    <t>AC103810.1</t>
  </si>
  <si>
    <t>ENSG00000108370.17</t>
  </si>
  <si>
    <t>RGS9</t>
  </si>
  <si>
    <t>ENSG00000141337.12</t>
  </si>
  <si>
    <t>ARSG</t>
  </si>
  <si>
    <t>ENSG00000108932.12</t>
  </si>
  <si>
    <t>SLC16A6</t>
  </si>
  <si>
    <t>ENSG00000070540.13</t>
  </si>
  <si>
    <t>WIPI1</t>
  </si>
  <si>
    <t>ENSG00000207561.1</t>
  </si>
  <si>
    <t>MIR635</t>
  </si>
  <si>
    <t>ENSG00000187959.9</t>
  </si>
  <si>
    <t>CPSF4L</t>
  </si>
  <si>
    <t>ENSG00000069188.17</t>
  </si>
  <si>
    <t>SDK2</t>
  </si>
  <si>
    <t>ENSG00000246731.2</t>
  </si>
  <si>
    <t>AC100786.1</t>
  </si>
  <si>
    <t>ENSG00000250506.7</t>
  </si>
  <si>
    <t>CDK3</t>
  </si>
  <si>
    <t>ENSG00000182687.4</t>
  </si>
  <si>
    <t>GALR2</t>
  </si>
  <si>
    <t>ENSG00000167889.12</t>
  </si>
  <si>
    <t>MGAT5B</t>
  </si>
  <si>
    <t>ENSG00000263718.2</t>
  </si>
  <si>
    <t>AC068594.1</t>
  </si>
  <si>
    <t>ENSG00000267123.6</t>
  </si>
  <si>
    <t>SCAT1</t>
  </si>
  <si>
    <t>ENSG00000182156.10</t>
  </si>
  <si>
    <t>ENPP7</t>
  </si>
  <si>
    <t>ENSG00000262772.1</t>
  </si>
  <si>
    <t>LINC01977</t>
  </si>
  <si>
    <t>ENSG00000171246.6</t>
  </si>
  <si>
    <t>NPTX1</t>
  </si>
  <si>
    <t>ENSG00000185105.5</t>
  </si>
  <si>
    <t>MYADML2</t>
  </si>
  <si>
    <t>ENSG00000185269.12</t>
  </si>
  <si>
    <t>NOTUM</t>
  </si>
  <si>
    <t>ENSG00000266445.1</t>
  </si>
  <si>
    <t>NARF-AS1</t>
  </si>
  <si>
    <t>ENSG00000267478.1</t>
  </si>
  <si>
    <t>AP002414.3</t>
  </si>
  <si>
    <t>ENSG00000267704.1</t>
  </si>
  <si>
    <t>FRG2LP</t>
  </si>
  <si>
    <t>ENSG00000154065.17</t>
  </si>
  <si>
    <t>ANKRD29</t>
  </si>
  <si>
    <t>ENSG00000265750.1</t>
  </si>
  <si>
    <t>AC090772.3</t>
  </si>
  <si>
    <t>ENSG00000285095.1</t>
  </si>
  <si>
    <t>AC025887.2</t>
  </si>
  <si>
    <t>ENSG00000197705.9</t>
  </si>
  <si>
    <t>KLHL14</t>
  </si>
  <si>
    <t>ENSG00000206052.11</t>
  </si>
  <si>
    <t>DOK6</t>
  </si>
  <si>
    <t>ENSG00000206043.6</t>
  </si>
  <si>
    <t>C18orf63</t>
  </si>
  <si>
    <t>ENSG00000264278.1</t>
  </si>
  <si>
    <t>ZNF236-DT</t>
  </si>
  <si>
    <t>ENSG00000267666.2</t>
  </si>
  <si>
    <t>AC004156.1</t>
  </si>
  <si>
    <t>ENSG00000070404.10</t>
  </si>
  <si>
    <t>FSTL3</t>
  </si>
  <si>
    <t>ENSG00000116014.10</t>
  </si>
  <si>
    <t>KISS1R</t>
  </si>
  <si>
    <t>ENSG00000099625.13</t>
  </si>
  <si>
    <t>CBARP</t>
  </si>
  <si>
    <t>ENSG00000176490.5</t>
  </si>
  <si>
    <t>DIRAS1</t>
  </si>
  <si>
    <t>ENSG00000065717.15</t>
  </si>
  <si>
    <t>TLE2</t>
  </si>
  <si>
    <t>ENSG00000268670.1</t>
  </si>
  <si>
    <t>AC016586.1</t>
  </si>
  <si>
    <t>ENSG00000156413.13</t>
  </si>
  <si>
    <t>FUT6</t>
  </si>
  <si>
    <t>ENSG00000181029.9</t>
  </si>
  <si>
    <t>TRAPPC5</t>
  </si>
  <si>
    <t>ENSG00000278611.1</t>
  </si>
  <si>
    <t>ZNF426-DT</t>
  </si>
  <si>
    <t>ENSG00000105088.8</t>
  </si>
  <si>
    <t>OLFM2</t>
  </si>
  <si>
    <t>ENSG00000130173.13</t>
  </si>
  <si>
    <t>ANGPTL8</t>
  </si>
  <si>
    <t>ENSG00000183401.12</t>
  </si>
  <si>
    <t>CCDC159</t>
  </si>
  <si>
    <t>ENSG00000187266.14</t>
  </si>
  <si>
    <t>EPOR</t>
  </si>
  <si>
    <t>ENSG00000278897.1</t>
  </si>
  <si>
    <t>AC020951.1</t>
  </si>
  <si>
    <t>ENSG00000198342.10</t>
  </si>
  <si>
    <t>ZNF442</t>
  </si>
  <si>
    <t>ENSG00000267519.6</t>
  </si>
  <si>
    <t>AC020916.1</t>
  </si>
  <si>
    <t>ENSG00000187867.8</t>
  </si>
  <si>
    <t>PALM3</t>
  </si>
  <si>
    <t>ENSG00000161031.13</t>
  </si>
  <si>
    <t>PGLYRP2</t>
  </si>
  <si>
    <t>ENSG00000269720.2</t>
  </si>
  <si>
    <t>CCDC194</t>
  </si>
  <si>
    <t>ENSG00000267565.1</t>
  </si>
  <si>
    <t>AC011477.3</t>
  </si>
  <si>
    <t>ENSG00000184635.15</t>
  </si>
  <si>
    <t>ZNF93</t>
  </si>
  <si>
    <t>ENSG00000197134.12</t>
  </si>
  <si>
    <t>ZNF257</t>
  </si>
  <si>
    <t>ENSG00000198597.9</t>
  </si>
  <si>
    <t>ZNF536</t>
  </si>
  <si>
    <t>ENSG00000124302.13</t>
  </si>
  <si>
    <t>CHST8</t>
  </si>
  <si>
    <t>ENSG00000105711.12</t>
  </si>
  <si>
    <t>SCN1B</t>
  </si>
  <si>
    <t>ENSG00000268947.1</t>
  </si>
  <si>
    <t>AC002128.1</t>
  </si>
  <si>
    <t>ENSG00000105675.8</t>
  </si>
  <si>
    <t>ATP4A</t>
  </si>
  <si>
    <t>ENSG00000225975.6</t>
  </si>
  <si>
    <t>LINC01534</t>
  </si>
  <si>
    <t>ENSG00000267041.6</t>
  </si>
  <si>
    <t>ZNF850</t>
  </si>
  <si>
    <t>ENSG00000198453.13</t>
  </si>
  <si>
    <t>ZNF568</t>
  </si>
  <si>
    <t>ENSG00000171804.10</t>
  </si>
  <si>
    <t>WDR87</t>
  </si>
  <si>
    <t>ENSG00000188766.12</t>
  </si>
  <si>
    <t>SPRED3</t>
  </si>
  <si>
    <t>ENSG00000104814.13</t>
  </si>
  <si>
    <t>MAP4K1</t>
  </si>
  <si>
    <t>ENSG00000267107.7</t>
  </si>
  <si>
    <t>PCAT19</t>
  </si>
  <si>
    <t>ENSG00000105737.9</t>
  </si>
  <si>
    <t>GRIK5</t>
  </si>
  <si>
    <t>ENSG00000234465.11</t>
  </si>
  <si>
    <t>PINLYP</t>
  </si>
  <si>
    <t>ENSG00000159915.12</t>
  </si>
  <si>
    <t>ZNF233</t>
  </si>
  <si>
    <t>ENSG00000273777.4</t>
  </si>
  <si>
    <t>CEACAM20</t>
  </si>
  <si>
    <t>ENSG00000234906.10</t>
  </si>
  <si>
    <t>APOC2</t>
  </si>
  <si>
    <t>ENSG00000104936.17</t>
  </si>
  <si>
    <t>DMPK</t>
  </si>
  <si>
    <t>ENSG00000204869.8</t>
  </si>
  <si>
    <t>IGFL4</t>
  </si>
  <si>
    <t>ENSG00000134830.5</t>
  </si>
  <si>
    <t>C5AR2</t>
  </si>
  <si>
    <t>ENSG00000118160.14</t>
  </si>
  <si>
    <t>SLC8A2</t>
  </si>
  <si>
    <t>ENSG00000277383.1</t>
  </si>
  <si>
    <t>AC010331.1</t>
  </si>
  <si>
    <t>ENSG00000182324.6</t>
  </si>
  <si>
    <t>KCNJ14</t>
  </si>
  <si>
    <t>ENSG00000088002.11</t>
  </si>
  <si>
    <t>SULT2B1</t>
  </si>
  <si>
    <t>ENSG00000286024.1</t>
  </si>
  <si>
    <t>AC026803.3</t>
  </si>
  <si>
    <t>ENSG00000087076.9</t>
  </si>
  <si>
    <t>HSD17B14</t>
  </si>
  <si>
    <t>ENSG00000267898.1</t>
  </si>
  <si>
    <t>AC026803.2</t>
  </si>
  <si>
    <t>ENSG00000225950.8</t>
  </si>
  <si>
    <t>NTF4</t>
  </si>
  <si>
    <t>ENSG00000104848.1</t>
  </si>
  <si>
    <t>KCNA7</t>
  </si>
  <si>
    <t>ENSG00000204653.10</t>
  </si>
  <si>
    <t>ASPDH</t>
  </si>
  <si>
    <t>ENSG00000161681.15</t>
  </si>
  <si>
    <t>SHANK1</t>
  </si>
  <si>
    <t>ENSG00000105383.15</t>
  </si>
  <si>
    <t>CD33</t>
  </si>
  <si>
    <t>ENSG00000268520.1</t>
  </si>
  <si>
    <t>AC008750.5</t>
  </si>
  <si>
    <t>ENSG00000142512.15</t>
  </si>
  <si>
    <t>SIGLEC10</t>
  </si>
  <si>
    <t>ENSG00000283236.1</t>
  </si>
  <si>
    <t>AC074141.1</t>
  </si>
  <si>
    <t>ENSG00000237017.1</t>
  </si>
  <si>
    <t>AC245052.4</t>
  </si>
  <si>
    <t>ENSG00000167608.11</t>
  </si>
  <si>
    <t>TMC4</t>
  </si>
  <si>
    <t>ENSG00000167618.10</t>
  </si>
  <si>
    <t>LAIR2</t>
  </si>
  <si>
    <t>ENSG00000187550.8</t>
  </si>
  <si>
    <t>SBK2</t>
  </si>
  <si>
    <t>ENSG00000171487.14</t>
  </si>
  <si>
    <t>NLRP5</t>
  </si>
  <si>
    <t>ENSG00000267710.9</t>
  </si>
  <si>
    <t>EDDM13</t>
  </si>
  <si>
    <t>ENSG00000018869.16</t>
  </si>
  <si>
    <t>ZNF582</t>
  </si>
  <si>
    <t>ENSG00000196724.12</t>
  </si>
  <si>
    <t>ZNF418</t>
  </si>
  <si>
    <t>ENSG00000268912.1</t>
  </si>
  <si>
    <t>AC012313.5</t>
  </si>
  <si>
    <t>ENSG00000125898.13</t>
  </si>
  <si>
    <t>FAM110A</t>
  </si>
  <si>
    <t>ENSG00000088881.20</t>
  </si>
  <si>
    <t>EBF4</t>
  </si>
  <si>
    <t>ENSG00000171873.7</t>
  </si>
  <si>
    <t>ADRA1D</t>
  </si>
  <si>
    <t>ENSG00000101333.16</t>
  </si>
  <si>
    <t>PLCB4</t>
  </si>
  <si>
    <t>ENSG00000230990.1</t>
  </si>
  <si>
    <t>AL049649.1</t>
  </si>
  <si>
    <t>ENSG00000232838.4</t>
  </si>
  <si>
    <t>PET117</t>
  </si>
  <si>
    <t>ENSG00000173404.5</t>
  </si>
  <si>
    <t>INSM1</t>
  </si>
  <si>
    <t>ENSG00000088970.16</t>
  </si>
  <si>
    <t>KIZ</t>
  </si>
  <si>
    <t>ENSG00000232712.6</t>
  </si>
  <si>
    <t>KIZ-AS1</t>
  </si>
  <si>
    <t>ENSG00000230400.2</t>
  </si>
  <si>
    <t>LINC01747</t>
  </si>
  <si>
    <t>ENSG00000170369.4</t>
  </si>
  <si>
    <t>CST2</t>
  </si>
  <si>
    <t>ENSG00000077984.6</t>
  </si>
  <si>
    <t>CST7</t>
  </si>
  <si>
    <t>ENSG00000277938.1</t>
  </si>
  <si>
    <t>AL035252.3</t>
  </si>
  <si>
    <t>ENSG00000227379.2</t>
  </si>
  <si>
    <t>PPIAP2</t>
  </si>
  <si>
    <t>ENSG00000230772.1</t>
  </si>
  <si>
    <t>VN1R108P</t>
  </si>
  <si>
    <t>ENSG00000125804.13</t>
  </si>
  <si>
    <t>FAM182A</t>
  </si>
  <si>
    <t>ENSG00000101331.15</t>
  </si>
  <si>
    <t>CCM2L</t>
  </si>
  <si>
    <t>ENSG00000101336.14</t>
  </si>
  <si>
    <t>HCK</t>
  </si>
  <si>
    <t>ENSG00000204117.1</t>
  </si>
  <si>
    <t>AL162293.1</t>
  </si>
  <si>
    <t>ENSG00000132821.12</t>
  </si>
  <si>
    <t>VSTM2L</t>
  </si>
  <si>
    <t>ENSG00000124143.10</t>
  </si>
  <si>
    <t>ARHGAP40</t>
  </si>
  <si>
    <t>ENSG00000229771.2</t>
  </si>
  <si>
    <t>AL035665.1</t>
  </si>
  <si>
    <t>ENSG00000226648.1</t>
  </si>
  <si>
    <t>PLCG1-AS1</t>
  </si>
  <si>
    <t>ENSG00000124194.16</t>
  </si>
  <si>
    <t>GDAP1L1</t>
  </si>
  <si>
    <t>ENSG00000229005.2</t>
  </si>
  <si>
    <t>HNF4A-AS1</t>
  </si>
  <si>
    <t>ENSG00000124102.5</t>
  </si>
  <si>
    <t>PI3</t>
  </si>
  <si>
    <t>ENSG00000101443.18</t>
  </si>
  <si>
    <t>WFDC2</t>
  </si>
  <si>
    <t>ENSG00000124116.19</t>
  </si>
  <si>
    <t>WFDC3</t>
  </si>
  <si>
    <t>ENSG00000286063.1</t>
  </si>
  <si>
    <t>AL121888.1</t>
  </si>
  <si>
    <t>ENSG00000124126.14</t>
  </si>
  <si>
    <t>PREX1</t>
  </si>
  <si>
    <t>ENSG00000230758.1</t>
  </si>
  <si>
    <t>SNAP23P1</t>
  </si>
  <si>
    <t>ENSG00000227431.5</t>
  </si>
  <si>
    <t>CSE1L-AS1</t>
  </si>
  <si>
    <t>ENSG00000158445.10</t>
  </si>
  <si>
    <t>KCNB1</t>
  </si>
  <si>
    <t>ENSG00000124212.6</t>
  </si>
  <si>
    <t>PTGIS</t>
  </si>
  <si>
    <t>ENSG00000231703.2</t>
  </si>
  <si>
    <t>AL354993.1</t>
  </si>
  <si>
    <t>ENSG00000087589.16</t>
  </si>
  <si>
    <t>CASS4</t>
  </si>
  <si>
    <t>ENSG00000283078.1</t>
  </si>
  <si>
    <t>AL137077.2</t>
  </si>
  <si>
    <t>ENSG00000101180.16</t>
  </si>
  <si>
    <t>HRH3</t>
  </si>
  <si>
    <t>ENSG00000130701.4</t>
  </si>
  <si>
    <t>RBBP8NL</t>
  </si>
  <si>
    <t>ENSG00000101187.16</t>
  </si>
  <si>
    <t>SLCO4A1</t>
  </si>
  <si>
    <t>ENSG00000203900.2</t>
  </si>
  <si>
    <t>AL121827.1</t>
  </si>
  <si>
    <t>ENSG00000197457.10</t>
  </si>
  <si>
    <t>STMN3</t>
  </si>
  <si>
    <t>ENSG00000203896.10</t>
  </si>
  <si>
    <t>LIME1</t>
  </si>
  <si>
    <t>ENSG00000203883.7</t>
  </si>
  <si>
    <t>SOX18</t>
  </si>
  <si>
    <t>ENSG00000274276.4</t>
  </si>
  <si>
    <t>CBSL</t>
  </si>
  <si>
    <t>ENSG00000278233.1</t>
  </si>
  <si>
    <t>RNA5-8SN2</t>
  </si>
  <si>
    <t>ENSG00000279390.1</t>
  </si>
  <si>
    <t>AF127577.6</t>
  </si>
  <si>
    <t>ENSG00000229962.1</t>
  </si>
  <si>
    <t>AP000221.1</t>
  </si>
  <si>
    <t>ENSG00000286018.1</t>
  </si>
  <si>
    <t>AF129075.3</t>
  </si>
  <si>
    <t>ENSG00000236830.6</t>
  </si>
  <si>
    <t>CBR3-AS1</t>
  </si>
  <si>
    <t>ENSG00000182093.15</t>
  </si>
  <si>
    <t>WRB</t>
  </si>
  <si>
    <t>ENSG00000160180.15</t>
  </si>
  <si>
    <t>TFF3</t>
  </si>
  <si>
    <t>ENSG00000160182.3</t>
  </si>
  <si>
    <t>TFF1</t>
  </si>
  <si>
    <t>ENSG00000160183.15</t>
  </si>
  <si>
    <t>TMPRSS3</t>
  </si>
  <si>
    <t>ENSG00000160233.8</t>
  </si>
  <si>
    <t>LRRC3</t>
  </si>
  <si>
    <t>ENSG00000235890.2</t>
  </si>
  <si>
    <t>TSPEAR-AS1</t>
  </si>
  <si>
    <t>ENSG00000142156.14</t>
  </si>
  <si>
    <t>COL6A1</t>
  </si>
  <si>
    <t>ENSG00000040608.14</t>
  </si>
  <si>
    <t>RTN4R</t>
  </si>
  <si>
    <t>ENSG00000099957.16</t>
  </si>
  <si>
    <t>P2RX6</t>
  </si>
  <si>
    <t>ENSG00000234630.1</t>
  </si>
  <si>
    <t>AC245060.2</t>
  </si>
  <si>
    <t>ENSG00000234884.1</t>
  </si>
  <si>
    <t>AL022329.1</t>
  </si>
  <si>
    <t>ENSG00000169184.6</t>
  </si>
  <si>
    <t>MN1</t>
  </si>
  <si>
    <t>ENSG00000214491.8</t>
  </si>
  <si>
    <t>SEC14L6</t>
  </si>
  <si>
    <t>ENSG00000185339.8</t>
  </si>
  <si>
    <t>TCN2</t>
  </si>
  <si>
    <t>ENSG00000100342.20</t>
  </si>
  <si>
    <t>APOL1</t>
  </si>
  <si>
    <t>ENSG00000231467.2</t>
  </si>
  <si>
    <t>AL022314.1</t>
  </si>
  <si>
    <t>ENSG00000205704.6</t>
  </si>
  <si>
    <t>LINC00634</t>
  </si>
  <si>
    <t>ENSG00000100167.20</t>
  </si>
  <si>
    <t>SEPT3</t>
  </si>
  <si>
    <t>ENSG00000235568.6</t>
  </si>
  <si>
    <t>NFAM1</t>
  </si>
  <si>
    <t>ENSG00000186732.14</t>
  </si>
  <si>
    <t>MPPED1</t>
  </si>
  <si>
    <t>ENSG00000056487.16</t>
  </si>
  <si>
    <t>PHF21B</t>
  </si>
  <si>
    <t>ENSG00000100373.10</t>
  </si>
  <si>
    <t>UPK3A</t>
  </si>
  <si>
    <t>ENSG00000073150.13</t>
  </si>
  <si>
    <t>PANX2</t>
  </si>
  <si>
    <t>ENSG00000008735.14</t>
  </si>
  <si>
    <t>MAPK8IP2</t>
  </si>
  <si>
    <t>ENSG00000124343.13</t>
  </si>
  <si>
    <t>XG</t>
  </si>
  <si>
    <t>ENSG00000101825.8</t>
  </si>
  <si>
    <t>MXRA5</t>
  </si>
  <si>
    <t>ENSG00000011201.12</t>
  </si>
  <si>
    <t>ANOS1</t>
  </si>
  <si>
    <t>ENSG00000101850.13</t>
  </si>
  <si>
    <t>GPR143</t>
  </si>
  <si>
    <t>ENSG00000087842.11</t>
  </si>
  <si>
    <t>PIR</t>
  </si>
  <si>
    <t>ENSG00000130234.10</t>
  </si>
  <si>
    <t>ACE2</t>
  </si>
  <si>
    <t>ENSG00000044446.11</t>
  </si>
  <si>
    <t>PHKA2</t>
  </si>
  <si>
    <t>ENSG00000177189.13</t>
  </si>
  <si>
    <t>RPS6KA3</t>
  </si>
  <si>
    <t>ENSG00000226781.1</t>
  </si>
  <si>
    <t>TBCAP1</t>
  </si>
  <si>
    <t>ENSG00000156298.12</t>
  </si>
  <si>
    <t>TSPAN7</t>
  </si>
  <si>
    <t>ENSG00000165175.15</t>
  </si>
  <si>
    <t>MID1IP1</t>
  </si>
  <si>
    <t>ENSG00000238123.1</t>
  </si>
  <si>
    <t>MID1IP1-AS1</t>
  </si>
  <si>
    <t>ENSG00000189221.9</t>
  </si>
  <si>
    <t>MAOA</t>
  </si>
  <si>
    <t>ENSG00000235636.1</t>
  </si>
  <si>
    <t>NUS1P1</t>
  </si>
  <si>
    <t>ENSG00000267064.1</t>
  </si>
  <si>
    <t>UXT-AS1</t>
  </si>
  <si>
    <t>ENSG00000234390.4</t>
  </si>
  <si>
    <t>USP27X-AS1</t>
  </si>
  <si>
    <t>ENSG00000154545.16</t>
  </si>
  <si>
    <t>MAGED4</t>
  </si>
  <si>
    <t>ENSG00000227329.2</t>
  </si>
  <si>
    <t>AL139396.1</t>
  </si>
  <si>
    <t>ENSG00000221716.1</t>
  </si>
  <si>
    <t>SNORA11</t>
  </si>
  <si>
    <t>ENSG00000187601.4</t>
  </si>
  <si>
    <t>MAGEH1</t>
  </si>
  <si>
    <t>ENSG00000131089.15</t>
  </si>
  <si>
    <t>ARHGEF9</t>
  </si>
  <si>
    <t>ENSG00000120500.17</t>
  </si>
  <si>
    <t>ARR3</t>
  </si>
  <si>
    <t>ENSG00000184481.16</t>
  </si>
  <si>
    <t>FOXO4</t>
  </si>
  <si>
    <t>ENSG00000198157.10</t>
  </si>
  <si>
    <t>HMGN5</t>
  </si>
  <si>
    <t>ENSG00000126733.21</t>
  </si>
  <si>
    <t>DACH2</t>
  </si>
  <si>
    <t>ENSG00000102271.14</t>
  </si>
  <si>
    <t>KLHL4</t>
  </si>
  <si>
    <t>ENSG00000207146.1</t>
  </si>
  <si>
    <t>ENSG00000243978.8</t>
  </si>
  <si>
    <t>RTL9</t>
  </si>
  <si>
    <t>ENSG00000077264.15</t>
  </si>
  <si>
    <t>PAK3</t>
  </si>
  <si>
    <t>ENSG00000126016.15</t>
  </si>
  <si>
    <t>AMOT</t>
  </si>
  <si>
    <t>ENSG00000174460.4</t>
  </si>
  <si>
    <t>ZCCHC12</t>
  </si>
  <si>
    <t>ENSG00000171155.8</t>
  </si>
  <si>
    <t>C1GALT1C1</t>
  </si>
  <si>
    <t>ENSG00000171388.12</t>
  </si>
  <si>
    <t>APLN</t>
  </si>
  <si>
    <t>ENSG00000122121.11</t>
  </si>
  <si>
    <t>XPNPEP2</t>
  </si>
  <si>
    <t>ENSG00000147255.19</t>
  </si>
  <si>
    <t>IGSF1</t>
  </si>
  <si>
    <t>ENSG00000236091.1</t>
  </si>
  <si>
    <t>LINC02243</t>
  </si>
  <si>
    <t>ENSG00000196972.9</t>
  </si>
  <si>
    <t>SMIM10L2B</t>
  </si>
  <si>
    <t>ENSG00000129682.16</t>
  </si>
  <si>
    <t>FGF13</t>
  </si>
  <si>
    <t>ENSG00000234696.1</t>
  </si>
  <si>
    <t>GPR50-AS1</t>
  </si>
  <si>
    <t>ENSG00000067840.12</t>
  </si>
  <si>
    <t>PDZD4</t>
  </si>
  <si>
    <t>ENSG00000160211.17</t>
  </si>
  <si>
    <t>G6PD</t>
  </si>
  <si>
    <t>ENSG00000275882.1</t>
  </si>
  <si>
    <t>IKBKGP1</t>
  </si>
  <si>
    <t>ENSG00000169093.16_PAR_Y</t>
  </si>
  <si>
    <t>ASMTL</t>
  </si>
  <si>
    <t>ENSG00000182162.11_PAR_Y</t>
  </si>
  <si>
    <t>P2RY8</t>
  </si>
  <si>
    <t>ENSG00000197976.12_PAR_Y</t>
  </si>
  <si>
    <t>AKAP17A</t>
  </si>
  <si>
    <t>ENSG00000012817.15</t>
  </si>
  <si>
    <t>KDM5D</t>
  </si>
  <si>
    <t>The table below indicates figures that the other tabs are corresponding to.</t>
    <phoneticPr fontId="6" type="noConversion"/>
  </si>
  <si>
    <t>tab name</t>
    <phoneticPr fontId="6" type="noConversion"/>
  </si>
  <si>
    <t>Figure</t>
    <phoneticPr fontId="6" type="noConversion"/>
  </si>
  <si>
    <r>
      <t>Supplemental Table S9</t>
    </r>
    <r>
      <rPr>
        <b/>
        <sz val="11"/>
        <color theme="1"/>
        <rFont val="宋体"/>
        <family val="3"/>
        <charset val="134"/>
      </rPr>
      <t>：</t>
    </r>
    <r>
      <rPr>
        <b/>
        <sz val="11"/>
        <color theme="1"/>
        <rFont val="Arial"/>
        <family val="2"/>
      </rPr>
      <t>Transcripts differentially expressed in stable TP53LC04-silenced HepG2 cells upon DNA damage treatment with ADR identified by the RNA-seq analysis.</t>
    </r>
    <phoneticPr fontId="2" type="noConversion"/>
  </si>
  <si>
    <t>sh-TP5304-1 vs  sh-LacZ in ADR</t>
  </si>
  <si>
    <t>643 overlapped genes</t>
  </si>
  <si>
    <t>S12A</t>
    <phoneticPr fontId="6" type="noConversion"/>
  </si>
  <si>
    <t>S12B</t>
    <phoneticPr fontId="6" type="noConversion"/>
  </si>
  <si>
    <t>log2FoldChange (WT-ADR+ vs TP53-/- -ADR+)</t>
    <phoneticPr fontId="2" type="noConversion"/>
  </si>
  <si>
    <t>pvalue (WT-ADR+ vsTP53-/- -ADR+)</t>
    <phoneticPr fontId="2" type="noConversion"/>
  </si>
  <si>
    <t>"643 overlapped genes" Dataset indicates differentially expressed transcripts regulated by both TP53LC04 and TP53 in response to DNA damage.</t>
    <phoneticPr fontId="6" type="noConversion"/>
  </si>
  <si>
    <t>"1211 TP53LC04 specific genes" Dataset indicates differentially expressed transcripts only dependent on TP53LC04 in response to DNA damage.</t>
    <phoneticPr fontId="6" type="noConversion"/>
  </si>
  <si>
    <t>1211 TP53LC04 dependent genes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</si>
</sst>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Arial"/>
      <family val="2"/>
    </font>
    <font>
      <b/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1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1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C8" sqref="C8"/>
    </sheetView>
  </sheetViews>
  <sheetFormatPr defaultRowHeight="14.25" x14ac:dyDescent="0.2"/>
  <cols>
    <col min="1" max="1" width="30.375" bestFit="1" customWidth="1"/>
  </cols>
  <sheetData>
    <row r="1" spans="1:2" s="15" customFormat="1" ht="15" x14ac:dyDescent="0.2">
      <c r="A1" s="15" t="s">
        <v>3713</v>
      </c>
    </row>
    <row r="2" spans="1:2" s="16" customFormat="1" x14ac:dyDescent="0.2">
      <c r="A2" s="16" t="s">
        <v>3720</v>
      </c>
    </row>
    <row r="3" spans="1:2" s="16" customFormat="1" x14ac:dyDescent="0.2">
      <c r="A3" s="16" t="s">
        <v>3721</v>
      </c>
    </row>
    <row r="4" spans="1:2" s="16" customFormat="1" x14ac:dyDescent="0.2">
      <c r="A4" s="16" t="s">
        <v>3710</v>
      </c>
    </row>
    <row r="6" spans="1:2" s="3" customFormat="1" ht="15" x14ac:dyDescent="0.2">
      <c r="A6" s="1" t="s">
        <v>3711</v>
      </c>
      <c r="B6" s="2" t="s">
        <v>3712</v>
      </c>
    </row>
    <row r="7" spans="1:2" s="3" customFormat="1" x14ac:dyDescent="0.2">
      <c r="A7" s="4" t="s">
        <v>3714</v>
      </c>
      <c r="B7" s="5" t="s">
        <v>3716</v>
      </c>
    </row>
    <row r="8" spans="1:2" x14ac:dyDescent="0.2">
      <c r="A8" s="6" t="s">
        <v>3715</v>
      </c>
      <c r="B8" s="5" t="s">
        <v>3717</v>
      </c>
    </row>
    <row r="9" spans="1:2" x14ac:dyDescent="0.2">
      <c r="A9" s="6" t="s">
        <v>3722</v>
      </c>
      <c r="B9" s="5" t="s">
        <v>3717</v>
      </c>
    </row>
  </sheetData>
  <mergeCells count="4">
    <mergeCell ref="A1:XFD1"/>
    <mergeCell ref="A4:XFD4"/>
    <mergeCell ref="A3:XFD3"/>
    <mergeCell ref="A2:XFD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5"/>
  <sheetViews>
    <sheetView workbookViewId="0">
      <selection activeCell="G97" sqref="G97"/>
    </sheetView>
  </sheetViews>
  <sheetFormatPr defaultRowHeight="14.25" x14ac:dyDescent="0.2"/>
  <cols>
    <col min="1" max="1" width="27" style="14" bestFit="1" customWidth="1"/>
    <col min="2" max="2" width="16.625" style="14" bestFit="1" customWidth="1"/>
    <col min="3" max="3" width="13.875" style="14" bestFit="1" customWidth="1"/>
    <col min="4" max="5" width="12.75" style="14" bestFit="1" customWidth="1"/>
    <col min="6" max="6" width="16.625" style="14" bestFit="1" customWidth="1"/>
    <col min="7" max="7" width="35.25" style="14" bestFit="1" customWidth="1"/>
    <col min="8" max="9" width="9" style="14"/>
    <col min="11" max="16384" width="9" style="14"/>
  </cols>
  <sheetData>
    <row r="1" spans="1:10" ht="15" x14ac:dyDescent="0.2">
      <c r="A1" s="7" t="str">
        <f>"gene"</f>
        <v>gene</v>
      </c>
      <c r="B1" s="7" t="str">
        <f>"log2FoldChange"</f>
        <v>log2FoldChange</v>
      </c>
      <c r="C1" s="7" t="str">
        <f>"logCPM"</f>
        <v>logCPM</v>
      </c>
      <c r="D1" s="7" t="str">
        <f>"F"</f>
        <v>F</v>
      </c>
      <c r="E1" s="7" t="str">
        <f>"pvalue"</f>
        <v>pvalue</v>
      </c>
      <c r="F1" s="7" t="str">
        <f>"genename"</f>
        <v>genename</v>
      </c>
      <c r="G1" s="7" t="str">
        <f>"genetype"</f>
        <v>genetype</v>
      </c>
      <c r="J1" s="14"/>
    </row>
    <row r="2" spans="1:10" x14ac:dyDescent="0.2">
      <c r="A2" s="10" t="str">
        <f>"ENSG00000240409.1"</f>
        <v>ENSG00000240409.1</v>
      </c>
      <c r="B2" s="10">
        <v>1.4418072467774701</v>
      </c>
      <c r="C2" s="10">
        <v>-1.45506214253908</v>
      </c>
      <c r="D2" s="10">
        <v>5.8968103049794598</v>
      </c>
      <c r="E2" s="10">
        <v>4.0469578364055299E-2</v>
      </c>
      <c r="F2" s="10" t="str">
        <f>"MTATP8P1"</f>
        <v>MTATP8P1</v>
      </c>
      <c r="G2" s="10" t="str">
        <f>"unprocessed_pseudogene"</f>
        <v>unprocessed_pseudogene</v>
      </c>
      <c r="J2" s="14"/>
    </row>
    <row r="3" spans="1:10" x14ac:dyDescent="0.2">
      <c r="A3" s="10" t="str">
        <f>"ENSG00000272512.1"</f>
        <v>ENSG00000272512.1</v>
      </c>
      <c r="B3" s="10">
        <v>-1.4401701551702799</v>
      </c>
      <c r="C3" s="10">
        <v>-0.68133306038149999</v>
      </c>
      <c r="D3" s="10">
        <v>6.4000562246863497</v>
      </c>
      <c r="E3" s="10">
        <v>3.4927997308257297E-2</v>
      </c>
      <c r="F3" s="10" t="str">
        <f>"AL645608.7"</f>
        <v>AL645608.7</v>
      </c>
      <c r="G3" s="10" t="str">
        <f>"lincRNA"</f>
        <v>lincRNA</v>
      </c>
      <c r="J3" s="14"/>
    </row>
    <row r="4" spans="1:10" x14ac:dyDescent="0.2">
      <c r="A4" s="10" t="str">
        <f>"ENSG00000217801.10"</f>
        <v>ENSG00000217801.10</v>
      </c>
      <c r="B4" s="10">
        <v>1.05355513110917</v>
      </c>
      <c r="C4" s="10">
        <v>2.7346521362903302</v>
      </c>
      <c r="D4" s="10">
        <v>7.3479052343207503</v>
      </c>
      <c r="E4" s="10">
        <v>2.6331532450219599E-2</v>
      </c>
      <c r="F4" s="10" t="str">
        <f>"AL390719.1"</f>
        <v>AL390719.1</v>
      </c>
      <c r="G4" s="10" t="str">
        <f>"transcribed_unprocessed_pseudogene"</f>
        <v>transcribed_unprocessed_pseudogene</v>
      </c>
      <c r="J4" s="14"/>
    </row>
    <row r="5" spans="1:10" x14ac:dyDescent="0.2">
      <c r="A5" s="10" t="str">
        <f>"ENSG00000169885.10"</f>
        <v>ENSG00000169885.10</v>
      </c>
      <c r="B5" s="10">
        <v>-1.9359989438345799</v>
      </c>
      <c r="C5" s="10">
        <v>0.53652410557187502</v>
      </c>
      <c r="D5" s="10">
        <v>17.649540536047699</v>
      </c>
      <c r="E5" s="10">
        <v>2.91076495443293E-3</v>
      </c>
      <c r="F5" s="10" t="str">
        <f>"CALML6"</f>
        <v>CALML6</v>
      </c>
      <c r="G5" s="10" t="str">
        <f>"protein_coding"</f>
        <v>protein_coding</v>
      </c>
      <c r="J5" s="14"/>
    </row>
    <row r="6" spans="1:10" x14ac:dyDescent="0.2">
      <c r="A6" s="10" t="str">
        <f>"ENSG00000178821.13"</f>
        <v>ENSG00000178821.13</v>
      </c>
      <c r="B6" s="10">
        <v>-1.4434426717636799</v>
      </c>
      <c r="C6" s="10">
        <v>4.2976309668006998</v>
      </c>
      <c r="D6" s="10">
        <v>24.308666225739302</v>
      </c>
      <c r="E6" s="10">
        <v>1.1081528428015801E-3</v>
      </c>
      <c r="F6" s="10" t="str">
        <f>"TMEM52"</f>
        <v>TMEM52</v>
      </c>
      <c r="G6" s="10" t="str">
        <f>"protein_coding"</f>
        <v>protein_coding</v>
      </c>
      <c r="J6" s="14"/>
    </row>
    <row r="7" spans="1:10" x14ac:dyDescent="0.2">
      <c r="A7" s="10" t="str">
        <f>"ENSG00000149527.18"</f>
        <v>ENSG00000149527.18</v>
      </c>
      <c r="B7" s="10">
        <v>1.1516273112125099</v>
      </c>
      <c r="C7" s="10">
        <v>0.77246806396482004</v>
      </c>
      <c r="D7" s="10">
        <v>6.4075330986057697</v>
      </c>
      <c r="E7" s="10">
        <v>3.4847288995141099E-2</v>
      </c>
      <c r="F7" s="10" t="str">
        <f>"PLCH2"</f>
        <v>PLCH2</v>
      </c>
      <c r="G7" s="10" t="str">
        <f>"protein_coding"</f>
        <v>protein_coding</v>
      </c>
      <c r="J7" s="14"/>
    </row>
    <row r="8" spans="1:10" x14ac:dyDescent="0.2">
      <c r="A8" s="10" t="str">
        <f>"ENSG00000272235.1"</f>
        <v>ENSG00000272235.1</v>
      </c>
      <c r="B8" s="10">
        <v>2.1150535106547101</v>
      </c>
      <c r="C8" s="10">
        <v>-0.71191891038183297</v>
      </c>
      <c r="D8" s="10">
        <v>7.1473745395189896</v>
      </c>
      <c r="E8" s="10">
        <v>2.79050550442871E-2</v>
      </c>
      <c r="F8" s="10" t="str">
        <f>"AL590438.1"</f>
        <v>AL590438.1</v>
      </c>
      <c r="G8" s="10" t="str">
        <f>"lincRNA"</f>
        <v>lincRNA</v>
      </c>
      <c r="J8" s="14"/>
    </row>
    <row r="9" spans="1:10" x14ac:dyDescent="0.2">
      <c r="A9" s="10" t="str">
        <f>"ENSG00000227589.1"</f>
        <v>ENSG00000227589.1</v>
      </c>
      <c r="B9" s="10">
        <v>2.1563437446373701</v>
      </c>
      <c r="C9" s="10">
        <v>-0.57327889104385599</v>
      </c>
      <c r="D9" s="10">
        <v>24.572815599325999</v>
      </c>
      <c r="E9" s="10">
        <v>1.01916953953411E-3</v>
      </c>
      <c r="F9" s="10" t="str">
        <f>"AL136528.1"</f>
        <v>AL136528.1</v>
      </c>
      <c r="G9" s="10" t="str">
        <f>"antisense"</f>
        <v>antisense</v>
      </c>
      <c r="J9" s="14"/>
    </row>
    <row r="10" spans="1:10" x14ac:dyDescent="0.2">
      <c r="A10" s="10" t="str">
        <f>"ENSG00000116254.18"</f>
        <v>ENSG00000116254.18</v>
      </c>
      <c r="B10" s="10">
        <v>-1.0779139685497301</v>
      </c>
      <c r="C10" s="10">
        <v>3.9820070941648802</v>
      </c>
      <c r="D10" s="10">
        <v>6.8288180409103996</v>
      </c>
      <c r="E10" s="10">
        <v>3.06573308448649E-2</v>
      </c>
      <c r="F10" s="10" t="str">
        <f>"CHD5"</f>
        <v>CHD5</v>
      </c>
      <c r="G10" s="10" t="str">
        <f>"protein_coding"</f>
        <v>protein_coding</v>
      </c>
      <c r="J10" s="14"/>
    </row>
    <row r="11" spans="1:10" x14ac:dyDescent="0.2">
      <c r="A11" s="10" t="str">
        <f>"ENSG00000158292.7"</f>
        <v>ENSG00000158292.7</v>
      </c>
      <c r="B11" s="10">
        <v>-1.27271729507571</v>
      </c>
      <c r="C11" s="10">
        <v>3.0222029637026</v>
      </c>
      <c r="D11" s="10">
        <v>6.9844198024448296</v>
      </c>
      <c r="E11" s="10">
        <v>2.92720743177141E-2</v>
      </c>
      <c r="F11" s="10" t="str">
        <f>"GPR153"</f>
        <v>GPR153</v>
      </c>
      <c r="G11" s="10" t="str">
        <f>"protein_coding"</f>
        <v>protein_coding</v>
      </c>
      <c r="J11" s="14"/>
    </row>
    <row r="12" spans="1:10" x14ac:dyDescent="0.2">
      <c r="A12" s="10" t="str">
        <f>"ENSG00000269978.1"</f>
        <v>ENSG00000269978.1</v>
      </c>
      <c r="B12" s="10">
        <v>-1.1953568940425101</v>
      </c>
      <c r="C12" s="10">
        <v>4.3977206380835798E-2</v>
      </c>
      <c r="D12" s="10">
        <v>9.5332237205287207</v>
      </c>
      <c r="E12" s="10">
        <v>1.44248542053163E-2</v>
      </c>
      <c r="F12" s="10" t="str">
        <f>"AL359881.1"</f>
        <v>AL359881.1</v>
      </c>
      <c r="G12" s="10" t="str">
        <f>"lincRNA"</f>
        <v>lincRNA</v>
      </c>
      <c r="J12" s="14"/>
    </row>
    <row r="13" spans="1:10" x14ac:dyDescent="0.2">
      <c r="A13" s="10" t="str">
        <f>"ENSG00000188807.13"</f>
        <v>ENSG00000188807.13</v>
      </c>
      <c r="B13" s="10">
        <v>-1.1947191042387999</v>
      </c>
      <c r="C13" s="10">
        <v>5.6940699586388002</v>
      </c>
      <c r="D13" s="10">
        <v>8.6922577218353805</v>
      </c>
      <c r="E13" s="10">
        <v>1.8225984263468002E-2</v>
      </c>
      <c r="F13" s="10" t="str">
        <f>"TMEM201"</f>
        <v>TMEM201</v>
      </c>
      <c r="G13" s="10" t="str">
        <f>"protein_coding"</f>
        <v>protein_coding</v>
      </c>
      <c r="J13" s="14"/>
    </row>
    <row r="14" spans="1:10" x14ac:dyDescent="0.2">
      <c r="A14" s="10" t="str">
        <f>"ENSG00000204624.8"</f>
        <v>ENSG00000204624.8</v>
      </c>
      <c r="B14" s="10">
        <v>-2.27367246831313</v>
      </c>
      <c r="C14" s="10">
        <v>1.13292060400357</v>
      </c>
      <c r="D14" s="10">
        <v>11.906764019130501</v>
      </c>
      <c r="E14" s="10">
        <v>8.5244602040107503E-3</v>
      </c>
      <c r="F14" s="10" t="str">
        <f>"DISP3"</f>
        <v>DISP3</v>
      </c>
      <c r="G14" s="10" t="str">
        <f>"protein_coding"</f>
        <v>protein_coding</v>
      </c>
      <c r="J14" s="14"/>
    </row>
    <row r="15" spans="1:10" x14ac:dyDescent="0.2">
      <c r="A15" s="10" t="str">
        <f>"ENSG00000235643.1"</f>
        <v>ENSG00000235643.1</v>
      </c>
      <c r="B15" s="10">
        <v>-3.2693887447618799</v>
      </c>
      <c r="C15" s="10">
        <v>-6.5665477634406194E-2</v>
      </c>
      <c r="D15" s="10">
        <v>36.165552327491703</v>
      </c>
      <c r="E15" s="10">
        <v>3.0333737374506499E-4</v>
      </c>
      <c r="F15" s="10" t="str">
        <f>"LINC01647"</f>
        <v>LINC01647</v>
      </c>
      <c r="G15" s="10" t="str">
        <f>"lincRNA"</f>
        <v>lincRNA</v>
      </c>
      <c r="J15" s="14"/>
    </row>
    <row r="16" spans="1:10" x14ac:dyDescent="0.2">
      <c r="A16" s="10" t="str">
        <f>"ENSG00000162490.7"</f>
        <v>ENSG00000162490.7</v>
      </c>
      <c r="B16" s="10">
        <v>-1.6812818381246599</v>
      </c>
      <c r="C16" s="10">
        <v>3.1768674297040498</v>
      </c>
      <c r="D16" s="10">
        <v>6.28191708741653</v>
      </c>
      <c r="E16" s="10">
        <v>3.6235237598849598E-2</v>
      </c>
      <c r="F16" s="10" t="str">
        <f>"DRAXIN"</f>
        <v>DRAXIN</v>
      </c>
      <c r="G16" s="10" t="str">
        <f>"protein_coding"</f>
        <v>protein_coding</v>
      </c>
      <c r="J16" s="14"/>
    </row>
    <row r="17" spans="1:10" x14ac:dyDescent="0.2">
      <c r="A17" s="10" t="str">
        <f>"ENSG00000175147.12"</f>
        <v>ENSG00000175147.12</v>
      </c>
      <c r="B17" s="10">
        <v>1.3682402581791699</v>
      </c>
      <c r="C17" s="10">
        <v>0.59079708489653804</v>
      </c>
      <c r="D17" s="10">
        <v>8.6484003920390595</v>
      </c>
      <c r="E17" s="10">
        <v>1.84361355827093E-2</v>
      </c>
      <c r="F17" s="10" t="str">
        <f>"TMEM51-AS1"</f>
        <v>TMEM51-AS1</v>
      </c>
      <c r="G17" s="10" t="str">
        <f>"antisense"</f>
        <v>antisense</v>
      </c>
      <c r="J17" s="14"/>
    </row>
    <row r="18" spans="1:10" x14ac:dyDescent="0.2">
      <c r="A18" s="10" t="str">
        <f>"ENSG00000237301.1"</f>
        <v>ENSG00000237301.1</v>
      </c>
      <c r="B18" s="10">
        <v>-1.61697797232889</v>
      </c>
      <c r="C18" s="10">
        <v>-0.87962080908076301</v>
      </c>
      <c r="D18" s="10">
        <v>6.4167315742544799</v>
      </c>
      <c r="E18" s="10">
        <v>3.4748320710576902E-2</v>
      </c>
      <c r="F18" s="10" t="str">
        <f>"AL121992.1"</f>
        <v>AL121992.1</v>
      </c>
      <c r="G18" s="10" t="str">
        <f>"antisense"</f>
        <v>antisense</v>
      </c>
      <c r="J18" s="14"/>
    </row>
    <row r="19" spans="1:10" x14ac:dyDescent="0.2">
      <c r="A19" s="10" t="str">
        <f>"ENSG00000173641.17"</f>
        <v>ENSG00000173641.17</v>
      </c>
      <c r="B19" s="10">
        <v>-1.8511619159783099</v>
      </c>
      <c r="C19" s="10">
        <v>-0.53314944481896998</v>
      </c>
      <c r="D19" s="10">
        <v>7.7059263668270601</v>
      </c>
      <c r="E19" s="10">
        <v>2.3790561391780301E-2</v>
      </c>
      <c r="F19" s="10" t="str">
        <f>"HSPB7"</f>
        <v>HSPB7</v>
      </c>
      <c r="G19" s="10" t="str">
        <f>"protein_coding"</f>
        <v>protein_coding</v>
      </c>
      <c r="J19" s="14"/>
    </row>
    <row r="20" spans="1:10" x14ac:dyDescent="0.2">
      <c r="A20" s="10" t="str">
        <f>"ENSG00000227684.2"</f>
        <v>ENSG00000227684.2</v>
      </c>
      <c r="B20" s="10">
        <v>-1.6860422457505799</v>
      </c>
      <c r="C20" s="10">
        <v>-0.250081353563053</v>
      </c>
      <c r="D20" s="10">
        <v>12.6307655477667</v>
      </c>
      <c r="E20" s="10">
        <v>7.3179544431343502E-3</v>
      </c>
      <c r="F20" s="10" t="str">
        <f>"CROCCP4"</f>
        <v>CROCCP4</v>
      </c>
      <c r="G20" s="10" t="str">
        <f>"transcribed_unprocessed_pseudogene"</f>
        <v>transcribed_unprocessed_pseudogene</v>
      </c>
      <c r="J20" s="14"/>
    </row>
    <row r="21" spans="1:10" x14ac:dyDescent="0.2">
      <c r="A21" s="10" t="str">
        <f>"ENSG00000009709.12"</f>
        <v>ENSG00000009709.12</v>
      </c>
      <c r="B21" s="10">
        <v>-3.4627958107732901</v>
      </c>
      <c r="C21" s="10">
        <v>-1.93397893843429</v>
      </c>
      <c r="D21" s="10">
        <v>8.8186951129622493</v>
      </c>
      <c r="E21" s="10">
        <v>1.7636775602971201E-2</v>
      </c>
      <c r="F21" s="10" t="str">
        <f>"PAX7"</f>
        <v>PAX7</v>
      </c>
      <c r="G21" s="10" t="str">
        <f>"protein_coding"</f>
        <v>protein_coding</v>
      </c>
      <c r="J21" s="14"/>
    </row>
    <row r="22" spans="1:10" x14ac:dyDescent="0.2">
      <c r="A22" s="10" t="str">
        <f>"ENSG00000188257.11"</f>
        <v>ENSG00000188257.11</v>
      </c>
      <c r="B22" s="10">
        <v>3.3618398317929299</v>
      </c>
      <c r="C22" s="10">
        <v>7.0406554994933499</v>
      </c>
      <c r="D22" s="10">
        <v>22.642705823683301</v>
      </c>
      <c r="E22" s="10">
        <v>1.38178936333427E-3</v>
      </c>
      <c r="F22" s="10" t="str">
        <f>"PLA2G2A"</f>
        <v>PLA2G2A</v>
      </c>
      <c r="G22" s="10" t="str">
        <f>"protein_coding"</f>
        <v>protein_coding</v>
      </c>
      <c r="J22" s="14"/>
    </row>
    <row r="23" spans="1:10" x14ac:dyDescent="0.2">
      <c r="A23" s="10" t="str">
        <f>"ENSG00000227001.3"</f>
        <v>ENSG00000227001.3</v>
      </c>
      <c r="B23" s="10">
        <v>-1.36779195211469</v>
      </c>
      <c r="C23" s="10">
        <v>0.24486142778759301</v>
      </c>
      <c r="D23" s="10">
        <v>16.194385333101799</v>
      </c>
      <c r="E23" s="10">
        <v>3.5959213909657799E-3</v>
      </c>
      <c r="F23" s="10" t="str">
        <f>"NBPF2P"</f>
        <v>NBPF2P</v>
      </c>
      <c r="G23" s="10" t="str">
        <f>"unprocessed_pseudogene"</f>
        <v>unprocessed_pseudogene</v>
      </c>
      <c r="J23" s="14"/>
    </row>
    <row r="24" spans="1:10" x14ac:dyDescent="0.2">
      <c r="A24" s="10" t="str">
        <f>"ENSG00000133216.16"</f>
        <v>ENSG00000133216.16</v>
      </c>
      <c r="B24" s="10">
        <v>-2.1807581953341102</v>
      </c>
      <c r="C24" s="10">
        <v>1.45112206180869</v>
      </c>
      <c r="D24" s="10">
        <v>18.804805846530101</v>
      </c>
      <c r="E24" s="10">
        <v>2.41889272893866E-3</v>
      </c>
      <c r="F24" s="10" t="str">
        <f>"EPHB2"</f>
        <v>EPHB2</v>
      </c>
      <c r="G24" s="10" t="str">
        <f>"protein_coding"</f>
        <v>protein_coding</v>
      </c>
      <c r="J24" s="14"/>
    </row>
    <row r="25" spans="1:10" x14ac:dyDescent="0.2">
      <c r="A25" s="10" t="str">
        <f>"ENSG00000236810.5"</f>
        <v>ENSG00000236810.5</v>
      </c>
      <c r="B25" s="10">
        <v>1.32300065383627</v>
      </c>
      <c r="C25" s="10">
        <v>9.1404946003069296E-2</v>
      </c>
      <c r="D25" s="10">
        <v>11.2806171465982</v>
      </c>
      <c r="E25" s="10">
        <v>9.6076640232131399E-3</v>
      </c>
      <c r="F25" s="10" t="str">
        <f>"ELOA-AS1"</f>
        <v>ELOA-AS1</v>
      </c>
      <c r="G25" s="10" t="str">
        <f>"antisense"</f>
        <v>antisense</v>
      </c>
      <c r="J25" s="14"/>
    </row>
    <row r="26" spans="1:10" x14ac:dyDescent="0.2">
      <c r="A26" s="10" t="str">
        <f>"ENSG00000184454.7"</f>
        <v>ENSG00000184454.7</v>
      </c>
      <c r="B26" s="10">
        <v>1.9795844793489299</v>
      </c>
      <c r="C26" s="10">
        <v>-0.28469362348107802</v>
      </c>
      <c r="D26" s="10">
        <v>5.49354857080671</v>
      </c>
      <c r="E26" s="10">
        <v>4.6756763998435202E-2</v>
      </c>
      <c r="F26" s="10" t="str">
        <f>"NCMAP"</f>
        <v>NCMAP</v>
      </c>
      <c r="G26" s="10" t="str">
        <f t="shared" ref="G26:G42" si="0">"protein_coding"</f>
        <v>protein_coding</v>
      </c>
      <c r="J26" s="14"/>
    </row>
    <row r="27" spans="1:10" x14ac:dyDescent="0.2">
      <c r="A27" s="10" t="str">
        <f>"ENSG00000162430.17"</f>
        <v>ENSG00000162430.17</v>
      </c>
      <c r="B27" s="10">
        <v>-1.14634004511679</v>
      </c>
      <c r="C27" s="10">
        <v>6.3439049001853602</v>
      </c>
      <c r="D27" s="10">
        <v>6.1655072208454396</v>
      </c>
      <c r="E27" s="10">
        <v>3.7584564167610301E-2</v>
      </c>
      <c r="F27" s="10" t="str">
        <f>"SELENON"</f>
        <v>SELENON</v>
      </c>
      <c r="G27" s="10" t="str">
        <f t="shared" si="0"/>
        <v>protein_coding</v>
      </c>
      <c r="J27" s="14"/>
    </row>
    <row r="28" spans="1:10" x14ac:dyDescent="0.2">
      <c r="A28" s="10" t="str">
        <f>"ENSG00000158022.6"</f>
        <v>ENSG00000158022.6</v>
      </c>
      <c r="B28" s="10">
        <v>-1.5195134072598799</v>
      </c>
      <c r="C28" s="10">
        <v>-1.7415619524633899E-2</v>
      </c>
      <c r="D28" s="10">
        <v>6.1015083402229404</v>
      </c>
      <c r="E28" s="10">
        <v>3.8353553479454697E-2</v>
      </c>
      <c r="F28" s="10" t="str">
        <f>"TRIM63"</f>
        <v>TRIM63</v>
      </c>
      <c r="G28" s="10" t="str">
        <f t="shared" si="0"/>
        <v>protein_coding</v>
      </c>
      <c r="J28" s="14"/>
    </row>
    <row r="29" spans="1:10" x14ac:dyDescent="0.2">
      <c r="A29" s="10" t="str">
        <f>"ENSG00000158246.8"</f>
        <v>ENSG00000158246.8</v>
      </c>
      <c r="B29" s="10">
        <v>-1.5129600948289399</v>
      </c>
      <c r="C29" s="10">
        <v>1.3968417032876099</v>
      </c>
      <c r="D29" s="10">
        <v>11.3146171383426</v>
      </c>
      <c r="E29" s="10">
        <v>9.7016880977471801E-3</v>
      </c>
      <c r="F29" s="10" t="str">
        <f>"TENT5B"</f>
        <v>TENT5B</v>
      </c>
      <c r="G29" s="10" t="str">
        <f t="shared" si="0"/>
        <v>protein_coding</v>
      </c>
      <c r="J29" s="14"/>
    </row>
    <row r="30" spans="1:10" x14ac:dyDescent="0.2">
      <c r="A30" s="10" t="str">
        <f>"ENSG00000090020.11"</f>
        <v>ENSG00000090020.11</v>
      </c>
      <c r="B30" s="10">
        <v>-1.20040159057762</v>
      </c>
      <c r="C30" s="10">
        <v>6.1132956685628601</v>
      </c>
      <c r="D30" s="10">
        <v>11.938374219201901</v>
      </c>
      <c r="E30" s="10">
        <v>8.4667955477866798E-3</v>
      </c>
      <c r="F30" s="10" t="str">
        <f>"SLC9A1"</f>
        <v>SLC9A1</v>
      </c>
      <c r="G30" s="10" t="str">
        <f t="shared" si="0"/>
        <v>protein_coding</v>
      </c>
      <c r="J30" s="14"/>
    </row>
    <row r="31" spans="1:10" x14ac:dyDescent="0.2">
      <c r="A31" s="10" t="str">
        <f>"ENSG00000174950.11"</f>
        <v>ENSG00000174950.11</v>
      </c>
      <c r="B31" s="10">
        <v>-2.1077191990932702</v>
      </c>
      <c r="C31" s="10">
        <v>-0.93448799944134797</v>
      </c>
      <c r="D31" s="10">
        <v>6.43896156587682</v>
      </c>
      <c r="E31" s="10">
        <v>3.4510608854456497E-2</v>
      </c>
      <c r="F31" s="10" t="str">
        <f>"CD164L2"</f>
        <v>CD164L2</v>
      </c>
      <c r="G31" s="10" t="str">
        <f t="shared" si="0"/>
        <v>protein_coding</v>
      </c>
      <c r="J31" s="14"/>
    </row>
    <row r="32" spans="1:10" x14ac:dyDescent="0.2">
      <c r="A32" s="10" t="str">
        <f>"ENSG00000188060.7"</f>
        <v>ENSG00000188060.7</v>
      </c>
      <c r="B32" s="10">
        <v>1.0029020508397599</v>
      </c>
      <c r="C32" s="10">
        <v>4.5703319215391298</v>
      </c>
      <c r="D32" s="10">
        <v>20.396530574549299</v>
      </c>
      <c r="E32" s="10">
        <v>1.89406244146062E-3</v>
      </c>
      <c r="F32" s="10" t="str">
        <f>"RAB42"</f>
        <v>RAB42</v>
      </c>
      <c r="G32" s="10" t="str">
        <f t="shared" si="0"/>
        <v>protein_coding</v>
      </c>
      <c r="J32" s="14"/>
    </row>
    <row r="33" spans="1:10" x14ac:dyDescent="0.2">
      <c r="A33" s="10" t="str">
        <f>"ENSG00000116329.11"</f>
        <v>ENSG00000116329.11</v>
      </c>
      <c r="B33" s="10">
        <v>-1.45916911631004</v>
      </c>
      <c r="C33" s="10">
        <v>0.90083550460890705</v>
      </c>
      <c r="D33" s="10">
        <v>9.6420425837206807</v>
      </c>
      <c r="E33" s="10">
        <v>1.43326506740545E-2</v>
      </c>
      <c r="F33" s="10" t="str">
        <f>"OPRD1"</f>
        <v>OPRD1</v>
      </c>
      <c r="G33" s="10" t="str">
        <f t="shared" si="0"/>
        <v>protein_coding</v>
      </c>
      <c r="J33" s="14"/>
    </row>
    <row r="34" spans="1:10" x14ac:dyDescent="0.2">
      <c r="A34" s="10" t="str">
        <f>"ENSG00000253304.2"</f>
        <v>ENSG00000253304.2</v>
      </c>
      <c r="B34" s="10">
        <v>-1.6856392490095</v>
      </c>
      <c r="C34" s="10">
        <v>2.51750214538243</v>
      </c>
      <c r="D34" s="10">
        <v>28.214206149475</v>
      </c>
      <c r="E34" s="10">
        <v>6.8961556301309998E-4</v>
      </c>
      <c r="F34" s="10" t="str">
        <f>"TMEM200B"</f>
        <v>TMEM200B</v>
      </c>
      <c r="G34" s="10" t="str">
        <f t="shared" si="0"/>
        <v>protein_coding</v>
      </c>
      <c r="J34" s="14"/>
    </row>
    <row r="35" spans="1:10" x14ac:dyDescent="0.2">
      <c r="A35" s="10" t="str">
        <f>"ENSG00000084628.10"</f>
        <v>ENSG00000084628.10</v>
      </c>
      <c r="B35" s="10">
        <v>-1.2475593995730601</v>
      </c>
      <c r="C35" s="10">
        <v>0.60224148560721302</v>
      </c>
      <c r="D35" s="10">
        <v>5.7896419232494303</v>
      </c>
      <c r="E35" s="10">
        <v>4.24000744825416E-2</v>
      </c>
      <c r="F35" s="10" t="str">
        <f>"NKAIN1"</f>
        <v>NKAIN1</v>
      </c>
      <c r="G35" s="10" t="str">
        <f t="shared" si="0"/>
        <v>protein_coding</v>
      </c>
      <c r="J35" s="14"/>
    </row>
    <row r="36" spans="1:10" x14ac:dyDescent="0.2">
      <c r="A36" s="10" t="str">
        <f>"ENSG00000121769.7"</f>
        <v>ENSG00000121769.7</v>
      </c>
      <c r="B36" s="10">
        <v>-1.2782679492130999</v>
      </c>
      <c r="C36" s="10">
        <v>-0.63725730475940801</v>
      </c>
      <c r="D36" s="10">
        <v>8.9539016971051808</v>
      </c>
      <c r="E36" s="10">
        <v>1.67117320658039E-2</v>
      </c>
      <c r="F36" s="10" t="str">
        <f>"FABP3"</f>
        <v>FABP3</v>
      </c>
      <c r="G36" s="10" t="str">
        <f t="shared" si="0"/>
        <v>protein_coding</v>
      </c>
      <c r="J36" s="14"/>
    </row>
    <row r="37" spans="1:10" x14ac:dyDescent="0.2">
      <c r="A37" s="10" t="str">
        <f>"ENSG00000134668.12"</f>
        <v>ENSG00000134668.12</v>
      </c>
      <c r="B37" s="10">
        <v>-1.80104574230068</v>
      </c>
      <c r="C37" s="10">
        <v>0.46274587772747999</v>
      </c>
      <c r="D37" s="10">
        <v>5.4435258009385104</v>
      </c>
      <c r="E37" s="10">
        <v>4.7548119509792201E-2</v>
      </c>
      <c r="F37" s="10" t="str">
        <f>"SPOCD1"</f>
        <v>SPOCD1</v>
      </c>
      <c r="G37" s="10" t="str">
        <f t="shared" si="0"/>
        <v>protein_coding</v>
      </c>
      <c r="J37" s="14"/>
    </row>
    <row r="38" spans="1:10" x14ac:dyDescent="0.2">
      <c r="A38" s="10" t="str">
        <f>"ENSG00000160097.18"</f>
        <v>ENSG00000160097.18</v>
      </c>
      <c r="B38" s="10">
        <v>-1.9513521620049199</v>
      </c>
      <c r="C38" s="10">
        <v>1.8039750850177301</v>
      </c>
      <c r="D38" s="10">
        <v>11.906402364282</v>
      </c>
      <c r="E38" s="10">
        <v>8.5251227938168608E-3</v>
      </c>
      <c r="F38" s="10" t="str">
        <f>"FNDC5"</f>
        <v>FNDC5</v>
      </c>
      <c r="G38" s="10" t="str">
        <f t="shared" si="0"/>
        <v>protein_coding</v>
      </c>
      <c r="J38" s="14"/>
    </row>
    <row r="39" spans="1:10" x14ac:dyDescent="0.2">
      <c r="A39" s="10" t="str">
        <f>"ENSG00000142920.17"</f>
        <v>ENSG00000142920.17</v>
      </c>
      <c r="B39" s="10">
        <v>-1.5708545903526001</v>
      </c>
      <c r="C39" s="10">
        <v>1.4891141061555899</v>
      </c>
      <c r="D39" s="10">
        <v>19.281638857127501</v>
      </c>
      <c r="E39" s="10">
        <v>2.24641562416465E-3</v>
      </c>
      <c r="F39" s="10" t="str">
        <f>"AZIN2"</f>
        <v>AZIN2</v>
      </c>
      <c r="G39" s="10" t="str">
        <f t="shared" si="0"/>
        <v>protein_coding</v>
      </c>
      <c r="J39" s="14"/>
    </row>
    <row r="40" spans="1:10" x14ac:dyDescent="0.2">
      <c r="A40" s="10" t="str">
        <f>"ENSG00000189280.3"</f>
        <v>ENSG00000189280.3</v>
      </c>
      <c r="B40" s="10">
        <v>-2.3911908235090902</v>
      </c>
      <c r="C40" s="10">
        <v>-1.22870514444843</v>
      </c>
      <c r="D40" s="10">
        <v>8.9818470284513996</v>
      </c>
      <c r="E40" s="10">
        <v>1.6911428444886498E-2</v>
      </c>
      <c r="F40" s="10" t="str">
        <f>"GJB5"</f>
        <v>GJB5</v>
      </c>
      <c r="G40" s="10" t="str">
        <f t="shared" si="0"/>
        <v>protein_coding</v>
      </c>
      <c r="J40" s="14"/>
    </row>
    <row r="41" spans="1:10" x14ac:dyDescent="0.2">
      <c r="A41" s="10" t="str">
        <f>"ENSG00000116544.12"</f>
        <v>ENSG00000116544.12</v>
      </c>
      <c r="B41" s="10">
        <v>-1.68871060257475</v>
      </c>
      <c r="C41" s="10">
        <v>-0.39713680047602701</v>
      </c>
      <c r="D41" s="10">
        <v>6.8043571427196197</v>
      </c>
      <c r="E41" s="10">
        <v>3.08825754787274E-2</v>
      </c>
      <c r="F41" s="10" t="str">
        <f>"DLGAP3"</f>
        <v>DLGAP3</v>
      </c>
      <c r="G41" s="10" t="str">
        <f t="shared" si="0"/>
        <v>protein_coding</v>
      </c>
      <c r="J41" s="14"/>
    </row>
    <row r="42" spans="1:10" x14ac:dyDescent="0.2">
      <c r="A42" s="10" t="str">
        <f>"ENSG00000116885.18"</f>
        <v>ENSG00000116885.18</v>
      </c>
      <c r="B42" s="10">
        <v>-1.1274308575679399</v>
      </c>
      <c r="C42" s="10">
        <v>1.7573555432786101</v>
      </c>
      <c r="D42" s="10">
        <v>9.5873111387455996</v>
      </c>
      <c r="E42" s="10">
        <v>1.45267530705407E-2</v>
      </c>
      <c r="F42" s="10" t="str">
        <f>"OSCP1"</f>
        <v>OSCP1</v>
      </c>
      <c r="G42" s="10" t="str">
        <f t="shared" si="0"/>
        <v>protein_coding</v>
      </c>
      <c r="J42" s="14"/>
    </row>
    <row r="43" spans="1:10" x14ac:dyDescent="0.2">
      <c r="A43" s="10" t="str">
        <f>"ENSG00000232273.1"</f>
        <v>ENSG00000232273.1</v>
      </c>
      <c r="B43" s="10">
        <v>2.0254606335493199</v>
      </c>
      <c r="C43" s="10">
        <v>-2.0253831265489599</v>
      </c>
      <c r="D43" s="10">
        <v>5.4237730599799097</v>
      </c>
      <c r="E43" s="10">
        <v>4.7718568304348202E-2</v>
      </c>
      <c r="F43" s="10" t="str">
        <f>"FTH1P1"</f>
        <v>FTH1P1</v>
      </c>
      <c r="G43" s="10" t="str">
        <f>"processed_pseudogene"</f>
        <v>processed_pseudogene</v>
      </c>
      <c r="J43" s="14"/>
    </row>
    <row r="44" spans="1:10" x14ac:dyDescent="0.2">
      <c r="A44" s="10" t="str">
        <f>"ENSG00000185668.7"</f>
        <v>ENSG00000185668.7</v>
      </c>
      <c r="B44" s="10">
        <v>-2.65760486285029</v>
      </c>
      <c r="C44" s="10">
        <v>5.3470735910840403</v>
      </c>
      <c r="D44" s="10">
        <v>32.0356185208569</v>
      </c>
      <c r="E44" s="10">
        <v>4.5510393346207998E-4</v>
      </c>
      <c r="F44" s="10" t="str">
        <f>"POU3F1"</f>
        <v>POU3F1</v>
      </c>
      <c r="G44" s="10" t="str">
        <f>"protein_coding"</f>
        <v>protein_coding</v>
      </c>
      <c r="J44" s="14"/>
    </row>
    <row r="45" spans="1:10" x14ac:dyDescent="0.2">
      <c r="A45" s="10" t="str">
        <f>"ENSG00000224592.5"</f>
        <v>ENSG00000224592.5</v>
      </c>
      <c r="B45" s="10">
        <v>-1.02322437878498</v>
      </c>
      <c r="C45" s="10">
        <v>2.8686816859014699</v>
      </c>
      <c r="D45" s="10">
        <v>10.959113468290999</v>
      </c>
      <c r="E45" s="10">
        <v>1.0507154859684901E-2</v>
      </c>
      <c r="F45" s="10" t="str">
        <f>"AL139158.2"</f>
        <v>AL139158.2</v>
      </c>
      <c r="G45" s="10" t="str">
        <f>"lincRNA"</f>
        <v>lincRNA</v>
      </c>
      <c r="J45" s="14"/>
    </row>
    <row r="46" spans="1:10" x14ac:dyDescent="0.2">
      <c r="A46" s="10" t="str">
        <f>"ENSG00000183682.8"</f>
        <v>ENSG00000183682.8</v>
      </c>
      <c r="B46" s="10">
        <v>-1.1694976997663999</v>
      </c>
      <c r="C46" s="10">
        <v>1.51087500860029</v>
      </c>
      <c r="D46" s="10">
        <v>6.4637133777420699</v>
      </c>
      <c r="E46" s="10">
        <v>3.4248347498491399E-2</v>
      </c>
      <c r="F46" s="10" t="str">
        <f>"BMP8A"</f>
        <v>BMP8A</v>
      </c>
      <c r="G46" s="10" t="str">
        <f>"protein_coding"</f>
        <v>protein_coding</v>
      </c>
      <c r="J46" s="14"/>
    </row>
    <row r="47" spans="1:10" x14ac:dyDescent="0.2">
      <c r="A47" s="10" t="str">
        <f>"ENSG00000116983.13"</f>
        <v>ENSG00000116983.13</v>
      </c>
      <c r="B47" s="10">
        <v>-3.8727460495782999</v>
      </c>
      <c r="C47" s="10">
        <v>-1.70180629125641</v>
      </c>
      <c r="D47" s="10">
        <v>7.5054180461966897</v>
      </c>
      <c r="E47" s="10">
        <v>2.51734302788915E-2</v>
      </c>
      <c r="F47" s="10" t="str">
        <f>"HPCAL4"</f>
        <v>HPCAL4</v>
      </c>
      <c r="G47" s="10" t="str">
        <f>"protein_coding"</f>
        <v>protein_coding</v>
      </c>
      <c r="J47" s="14"/>
    </row>
    <row r="48" spans="1:10" x14ac:dyDescent="0.2">
      <c r="A48" s="10" t="str">
        <f>"ENSG00000117010.17"</f>
        <v>ENSG00000117010.17</v>
      </c>
      <c r="B48" s="10">
        <v>1.0638057608784901</v>
      </c>
      <c r="C48" s="10">
        <v>2.7758174657220001</v>
      </c>
      <c r="D48" s="10">
        <v>17.555743070809001</v>
      </c>
      <c r="E48" s="10">
        <v>2.84905743527038E-3</v>
      </c>
      <c r="F48" s="10" t="str">
        <f>"ZNF684"</f>
        <v>ZNF684</v>
      </c>
      <c r="G48" s="10" t="str">
        <f>"protein_coding"</f>
        <v>protein_coding</v>
      </c>
      <c r="J48" s="14"/>
    </row>
    <row r="49" spans="1:10" x14ac:dyDescent="0.2">
      <c r="A49" s="10" t="str">
        <f>"ENSG00000186409.16"</f>
        <v>ENSG00000186409.16</v>
      </c>
      <c r="B49" s="10">
        <v>-1.3074516870559501</v>
      </c>
      <c r="C49" s="10">
        <v>0.55765219864970705</v>
      </c>
      <c r="D49" s="10">
        <v>8.1803727779521793</v>
      </c>
      <c r="E49" s="10">
        <v>2.0880642463226299E-2</v>
      </c>
      <c r="F49" s="10" t="str">
        <f>"CCDC30"</f>
        <v>CCDC30</v>
      </c>
      <c r="G49" s="10" t="str">
        <f>"protein_coding"</f>
        <v>protein_coding</v>
      </c>
      <c r="J49" s="14"/>
    </row>
    <row r="50" spans="1:10" x14ac:dyDescent="0.2">
      <c r="A50" s="10" t="str">
        <f>"ENSG00000117394.21"</f>
        <v>ENSG00000117394.21</v>
      </c>
      <c r="B50" s="10">
        <v>2.2288919451061</v>
      </c>
      <c r="C50" s="10">
        <v>9.3001070331459808</v>
      </c>
      <c r="D50" s="10">
        <v>37.321937477318201</v>
      </c>
      <c r="E50" s="10">
        <v>2.7265305069877301E-4</v>
      </c>
      <c r="F50" s="10" t="str">
        <f>"SLC2A1"</f>
        <v>SLC2A1</v>
      </c>
      <c r="G50" s="10" t="str">
        <f>"protein_coding"</f>
        <v>protein_coding</v>
      </c>
      <c r="J50" s="14"/>
    </row>
    <row r="51" spans="1:10" x14ac:dyDescent="0.2">
      <c r="A51" s="10" t="str">
        <f>"ENSG00000227533.5"</f>
        <v>ENSG00000227533.5</v>
      </c>
      <c r="B51" s="10">
        <v>2.7743602426656802</v>
      </c>
      <c r="C51" s="10">
        <v>0.55526342434546305</v>
      </c>
      <c r="D51" s="10">
        <v>23.0426993018981</v>
      </c>
      <c r="E51" s="10">
        <v>1.3090179229220101E-3</v>
      </c>
      <c r="F51" s="10" t="str">
        <f>"SLC2A1-AS1"</f>
        <v>SLC2A1-AS1</v>
      </c>
      <c r="G51" s="10" t="str">
        <f>"lincRNA"</f>
        <v>lincRNA</v>
      </c>
      <c r="J51" s="14"/>
    </row>
    <row r="52" spans="1:10" x14ac:dyDescent="0.2">
      <c r="A52" s="10" t="str">
        <f>"ENSG00000283973.1"</f>
        <v>ENSG00000283973.1</v>
      </c>
      <c r="B52" s="10">
        <v>2.99033542550037</v>
      </c>
      <c r="C52" s="10">
        <v>-0.80597255775986298</v>
      </c>
      <c r="D52" s="10">
        <v>7.9505076636136396</v>
      </c>
      <c r="E52" s="10">
        <v>2.22308091762442E-2</v>
      </c>
      <c r="F52" s="10" t="str">
        <f>"AC099795.1"</f>
        <v>AC099795.1</v>
      </c>
      <c r="G52" s="10" t="str">
        <f>"lincRNA"</f>
        <v>lincRNA</v>
      </c>
      <c r="J52" s="14"/>
    </row>
    <row r="53" spans="1:10" x14ac:dyDescent="0.2">
      <c r="A53" s="10" t="str">
        <f>"ENSG00000117407.17"</f>
        <v>ENSG00000117407.17</v>
      </c>
      <c r="B53" s="10">
        <v>-1.7170286649426301</v>
      </c>
      <c r="C53" s="10">
        <v>-1.27976786966676</v>
      </c>
      <c r="D53" s="10">
        <v>8.4741833782894194</v>
      </c>
      <c r="E53" s="10">
        <v>1.89588308769757E-2</v>
      </c>
      <c r="F53" s="10" t="str">
        <f>"ARTN"</f>
        <v>ARTN</v>
      </c>
      <c r="G53" s="10" t="str">
        <f>"protein_coding"</f>
        <v>protein_coding</v>
      </c>
      <c r="J53" s="14"/>
    </row>
    <row r="54" spans="1:10" x14ac:dyDescent="0.2">
      <c r="A54" s="10" t="str">
        <f>"ENSG00000196517.11"</f>
        <v>ENSG00000196517.11</v>
      </c>
      <c r="B54" s="10">
        <v>-1.9574019150934201</v>
      </c>
      <c r="C54" s="10">
        <v>2.6098805217419798</v>
      </c>
      <c r="D54" s="10">
        <v>14.1758380489935</v>
      </c>
      <c r="E54" s="10">
        <v>5.38218117004858E-3</v>
      </c>
      <c r="F54" s="10" t="str">
        <f>"SLC6A9"</f>
        <v>SLC6A9</v>
      </c>
      <c r="G54" s="10" t="str">
        <f>"protein_coding"</f>
        <v>protein_coding</v>
      </c>
      <c r="J54" s="14"/>
    </row>
    <row r="55" spans="1:10" x14ac:dyDescent="0.2">
      <c r="A55" s="10" t="str">
        <f>"ENSG00000230615.6"</f>
        <v>ENSG00000230615.6</v>
      </c>
      <c r="B55" s="10">
        <v>-2.4670708320213701</v>
      </c>
      <c r="C55" s="10">
        <v>0.70825109284124399</v>
      </c>
      <c r="D55" s="10">
        <v>55.197963555758903</v>
      </c>
      <c r="E55" s="13">
        <v>6.3631966000255794E-5</v>
      </c>
      <c r="F55" s="10" t="str">
        <f>"AL139220.2"</f>
        <v>AL139220.2</v>
      </c>
      <c r="G55" s="10" t="str">
        <f>"lincRNA"</f>
        <v>lincRNA</v>
      </c>
      <c r="J55" s="14"/>
    </row>
    <row r="56" spans="1:10" x14ac:dyDescent="0.2">
      <c r="A56" s="10" t="str">
        <f>"ENSG00000225721.5"</f>
        <v>ENSG00000225721.5</v>
      </c>
      <c r="B56" s="10">
        <v>-2.4464710944881198</v>
      </c>
      <c r="C56" s="10">
        <v>-1.9963794772713701</v>
      </c>
      <c r="D56" s="10">
        <v>6.0080568743446898</v>
      </c>
      <c r="E56" s="10">
        <v>3.9512639451654098E-2</v>
      </c>
      <c r="F56" s="10" t="str">
        <f>"AL592166.1"</f>
        <v>AL592166.1</v>
      </c>
      <c r="G56" s="10" t="str">
        <f>"antisense"</f>
        <v>antisense</v>
      </c>
      <c r="J56" s="14"/>
    </row>
    <row r="57" spans="1:10" x14ac:dyDescent="0.2">
      <c r="A57" s="10" t="str">
        <f>"ENSG00000117461.15"</f>
        <v>ENSG00000117461.15</v>
      </c>
      <c r="B57" s="10">
        <v>-1.25891119758147</v>
      </c>
      <c r="C57" s="10">
        <v>4.2887130252471399</v>
      </c>
      <c r="D57" s="10">
        <v>9.7246359991484503</v>
      </c>
      <c r="E57" s="10">
        <v>1.40458646658624E-2</v>
      </c>
      <c r="F57" s="10" t="str">
        <f>"PIK3R3"</f>
        <v>PIK3R3</v>
      </c>
      <c r="G57" s="10" t="str">
        <f>"protein_coding"</f>
        <v>protein_coding</v>
      </c>
      <c r="J57" s="14"/>
    </row>
    <row r="58" spans="1:10" x14ac:dyDescent="0.2">
      <c r="A58" s="10" t="str">
        <f>"ENSG00000085999.12"</f>
        <v>ENSG00000085999.12</v>
      </c>
      <c r="B58" s="10">
        <v>-1.0642980732719101</v>
      </c>
      <c r="C58" s="10">
        <v>3.8099696482401799</v>
      </c>
      <c r="D58" s="10">
        <v>17.888190624817199</v>
      </c>
      <c r="E58" s="10">
        <v>2.7995788785200198E-3</v>
      </c>
      <c r="F58" s="10" t="str">
        <f>"RAD54L"</f>
        <v>RAD54L</v>
      </c>
      <c r="G58" s="10" t="str">
        <f>"protein_coding"</f>
        <v>protein_coding</v>
      </c>
      <c r="J58" s="14"/>
    </row>
    <row r="59" spans="1:10" x14ac:dyDescent="0.2">
      <c r="A59" s="10" t="str">
        <f>"ENSG00000162456.9"</f>
        <v>ENSG00000162456.9</v>
      </c>
      <c r="B59" s="10">
        <v>-2.7044466534346698</v>
      </c>
      <c r="C59" s="10">
        <v>-1.8568842083450801</v>
      </c>
      <c r="D59" s="10">
        <v>5.35725788696279</v>
      </c>
      <c r="E59" s="10">
        <v>4.8953343562050299E-2</v>
      </c>
      <c r="F59" s="10" t="str">
        <f>"KNCN"</f>
        <v>KNCN</v>
      </c>
      <c r="G59" s="10" t="str">
        <f>"protein_coding"</f>
        <v>protein_coding</v>
      </c>
      <c r="J59" s="14"/>
    </row>
    <row r="60" spans="1:10" x14ac:dyDescent="0.2">
      <c r="A60" s="10" t="str">
        <f>"ENSG00000186564.5"</f>
        <v>ENSG00000186564.5</v>
      </c>
      <c r="B60" s="10">
        <v>-1.1724762098344199</v>
      </c>
      <c r="C60" s="10">
        <v>0.67948065972479899</v>
      </c>
      <c r="D60" s="10">
        <v>9.5241557298567798</v>
      </c>
      <c r="E60" s="10">
        <v>1.47548543667365E-2</v>
      </c>
      <c r="F60" s="10" t="str">
        <f>"FOXD2"</f>
        <v>FOXD2</v>
      </c>
      <c r="G60" s="10" t="str">
        <f>"protein_coding"</f>
        <v>protein_coding</v>
      </c>
      <c r="J60" s="14"/>
    </row>
    <row r="61" spans="1:10" x14ac:dyDescent="0.2">
      <c r="A61" s="10" t="str">
        <f>"ENSG00000279096.2"</f>
        <v>ENSG00000279096.2</v>
      </c>
      <c r="B61" s="10">
        <v>-4.8762734761598896</v>
      </c>
      <c r="C61" s="10">
        <v>-0.95926426173999602</v>
      </c>
      <c r="D61" s="10">
        <v>6.7502008875791297</v>
      </c>
      <c r="E61" s="10">
        <v>3.1388758953855601E-2</v>
      </c>
      <c r="F61" s="10" t="str">
        <f>"AL356289.3"</f>
        <v>AL356289.3</v>
      </c>
      <c r="G61" s="10" t="str">
        <f>"TEC"</f>
        <v>TEC</v>
      </c>
      <c r="J61" s="14"/>
    </row>
    <row r="62" spans="1:10" x14ac:dyDescent="0.2">
      <c r="A62" s="10" t="str">
        <f>"ENSG00000117834.12"</f>
        <v>ENSG00000117834.12</v>
      </c>
      <c r="B62" s="10">
        <v>1.2235964087796101</v>
      </c>
      <c r="C62" s="10">
        <v>3.9530964236622701</v>
      </c>
      <c r="D62" s="10">
        <v>19.5565729921138</v>
      </c>
      <c r="E62" s="10">
        <v>2.1539355287623998E-3</v>
      </c>
      <c r="F62" s="10" t="str">
        <f>"SLC5A9"</f>
        <v>SLC5A9</v>
      </c>
      <c r="G62" s="10" t="str">
        <f>"protein_coding"</f>
        <v>protein_coding</v>
      </c>
      <c r="J62" s="14"/>
    </row>
    <row r="63" spans="1:10" x14ac:dyDescent="0.2">
      <c r="A63" s="10" t="str">
        <f>"ENSG00000085831.15"</f>
        <v>ENSG00000085831.15</v>
      </c>
      <c r="B63" s="10">
        <v>2.0736805445048998</v>
      </c>
      <c r="C63" s="10">
        <v>3.3932124770789001</v>
      </c>
      <c r="D63" s="10">
        <v>41.674552243638999</v>
      </c>
      <c r="E63" s="10">
        <v>1.86847905990413E-4</v>
      </c>
      <c r="F63" s="10" t="str">
        <f>"TTC39A"</f>
        <v>TTC39A</v>
      </c>
      <c r="G63" s="10" t="str">
        <f>"protein_coding"</f>
        <v>protein_coding</v>
      </c>
      <c r="J63" s="14"/>
    </row>
    <row r="64" spans="1:10" x14ac:dyDescent="0.2">
      <c r="A64" s="10" t="str">
        <f>"ENSG00000157077.14"</f>
        <v>ENSG00000157077.14</v>
      </c>
      <c r="B64" s="10">
        <v>1.3762339341926699</v>
      </c>
      <c r="C64" s="10">
        <v>5.0220227777424604</v>
      </c>
      <c r="D64" s="10">
        <v>13.7914653558654</v>
      </c>
      <c r="E64" s="10">
        <v>5.7969413923108504E-3</v>
      </c>
      <c r="F64" s="10" t="str">
        <f>"ZFYVE9"</f>
        <v>ZFYVE9</v>
      </c>
      <c r="G64" s="10" t="str">
        <f>"protein_coding"</f>
        <v>protein_coding</v>
      </c>
      <c r="J64" s="14"/>
    </row>
    <row r="65" spans="1:10" x14ac:dyDescent="0.2">
      <c r="A65" s="10" t="str">
        <f>"ENSG00000226754.1"</f>
        <v>ENSG00000226754.1</v>
      </c>
      <c r="B65" s="10">
        <v>1.6249804210054499</v>
      </c>
      <c r="C65" s="10">
        <v>-0.74519642809209297</v>
      </c>
      <c r="D65" s="10">
        <v>6.79896179574048</v>
      </c>
      <c r="E65" s="10">
        <v>3.0932539134022798E-2</v>
      </c>
      <c r="F65" s="10" t="str">
        <f>"AL606760.1"</f>
        <v>AL606760.1</v>
      </c>
      <c r="G65" s="10" t="str">
        <f>"antisense"</f>
        <v>antisense</v>
      </c>
      <c r="J65" s="14"/>
    </row>
    <row r="66" spans="1:10" x14ac:dyDescent="0.2">
      <c r="A66" s="10" t="str">
        <f>"ENSG00000169174.10"</f>
        <v>ENSG00000169174.10</v>
      </c>
      <c r="B66" s="10">
        <v>-1.47486741699968</v>
      </c>
      <c r="C66" s="10">
        <v>4.4884655047845401</v>
      </c>
      <c r="D66" s="10">
        <v>23.2282625288064</v>
      </c>
      <c r="E66" s="10">
        <v>1.27688516933985E-3</v>
      </c>
      <c r="F66" s="10" t="str">
        <f>"PCSK9"</f>
        <v>PCSK9</v>
      </c>
      <c r="G66" s="10" t="str">
        <f>"protein_coding"</f>
        <v>protein_coding</v>
      </c>
      <c r="J66" s="14"/>
    </row>
    <row r="67" spans="1:10" x14ac:dyDescent="0.2">
      <c r="A67" s="10" t="str">
        <f>"ENSG00000223956.2"</f>
        <v>ENSG00000223956.2</v>
      </c>
      <c r="B67" s="10">
        <v>2.3771439004649202</v>
      </c>
      <c r="C67" s="10">
        <v>-1.2067638167189001</v>
      </c>
      <c r="D67" s="10">
        <v>16.8705951013328</v>
      </c>
      <c r="E67" s="10">
        <v>3.19706472179309E-3</v>
      </c>
      <c r="F67" s="10" t="str">
        <f>"LINC01767"</f>
        <v>LINC01767</v>
      </c>
      <c r="G67" s="10" t="str">
        <f>"lincRNA"</f>
        <v>lincRNA</v>
      </c>
      <c r="J67" s="14"/>
    </row>
    <row r="68" spans="1:10" x14ac:dyDescent="0.2">
      <c r="A68" s="10" t="str">
        <f>"ENSG00000187889.13"</f>
        <v>ENSG00000187889.13</v>
      </c>
      <c r="B68" s="10">
        <v>-1.01780951402647</v>
      </c>
      <c r="C68" s="10">
        <v>3.7176380297769702</v>
      </c>
      <c r="D68" s="10">
        <v>9.3355756063066604</v>
      </c>
      <c r="E68" s="10">
        <v>1.5463284678031E-2</v>
      </c>
      <c r="F68" s="10" t="str">
        <f>"FYB2"</f>
        <v>FYB2</v>
      </c>
      <c r="G68" s="10" t="str">
        <f>"protein_coding"</f>
        <v>protein_coding</v>
      </c>
      <c r="J68" s="14"/>
    </row>
    <row r="69" spans="1:10" x14ac:dyDescent="0.2">
      <c r="A69" s="10" t="str">
        <f>"ENSG00000021852.13"</f>
        <v>ENSG00000021852.13</v>
      </c>
      <c r="B69" s="10">
        <v>2.28156848883012</v>
      </c>
      <c r="C69" s="10">
        <v>2.3328919826284</v>
      </c>
      <c r="D69" s="10">
        <v>6.5432354501461498</v>
      </c>
      <c r="E69" s="10">
        <v>3.3422653866614402E-2</v>
      </c>
      <c r="F69" s="10" t="str">
        <f>"C8B"</f>
        <v>C8B</v>
      </c>
      <c r="G69" s="10" t="str">
        <f>"protein_coding"</f>
        <v>protein_coding</v>
      </c>
      <c r="J69" s="14"/>
    </row>
    <row r="70" spans="1:10" x14ac:dyDescent="0.2">
      <c r="A70" s="10" t="str">
        <f>"ENSG00000234264.1"</f>
        <v>ENSG00000234264.1</v>
      </c>
      <c r="B70" s="10">
        <v>-2.4367443382892802</v>
      </c>
      <c r="C70" s="10">
        <v>-1.41544071513299</v>
      </c>
      <c r="D70" s="10">
        <v>15.348573036576999</v>
      </c>
      <c r="E70" s="10">
        <v>4.1863232571278299E-3</v>
      </c>
      <c r="F70" s="10" t="str">
        <f>"DEPDC1-AS1"</f>
        <v>DEPDC1-AS1</v>
      </c>
      <c r="G70" s="10" t="str">
        <f>"antisense"</f>
        <v>antisense</v>
      </c>
      <c r="J70" s="14"/>
    </row>
    <row r="71" spans="1:10" x14ac:dyDescent="0.2">
      <c r="A71" s="10" t="str">
        <f>"ENSG00000226088.1"</f>
        <v>ENSG00000226088.1</v>
      </c>
      <c r="B71" s="10">
        <v>-2.3826982734371498</v>
      </c>
      <c r="C71" s="10">
        <v>-1.717067578085</v>
      </c>
      <c r="D71" s="10">
        <v>7.2543505968547199</v>
      </c>
      <c r="E71" s="10">
        <v>2.7051302213993801E-2</v>
      </c>
      <c r="F71" s="10" t="str">
        <f>"AL158839.1"</f>
        <v>AL158839.1</v>
      </c>
      <c r="G71" s="10" t="str">
        <f>"antisense"</f>
        <v>antisense</v>
      </c>
      <c r="J71" s="14"/>
    </row>
    <row r="72" spans="1:10" x14ac:dyDescent="0.2">
      <c r="A72" s="10" t="str">
        <f>"ENSG00000137960.6"</f>
        <v>ENSG00000137960.6</v>
      </c>
      <c r="B72" s="10">
        <v>1.31620804798726</v>
      </c>
      <c r="C72" s="10">
        <v>5.4057484348688298</v>
      </c>
      <c r="D72" s="10">
        <v>14.323114674198001</v>
      </c>
      <c r="E72" s="10">
        <v>5.2331472124286403E-3</v>
      </c>
      <c r="F72" s="10" t="str">
        <f>"GIPC2"</f>
        <v>GIPC2</v>
      </c>
      <c r="G72" s="10" t="str">
        <f t="shared" ref="G72:G77" si="1">"protein_coding"</f>
        <v>protein_coding</v>
      </c>
      <c r="J72" s="14"/>
    </row>
    <row r="73" spans="1:10" x14ac:dyDescent="0.2">
      <c r="A73" s="10" t="str">
        <f>"ENSG00000137941.17"</f>
        <v>ENSG00000137941.17</v>
      </c>
      <c r="B73" s="10">
        <v>1.3700146682885801</v>
      </c>
      <c r="C73" s="10">
        <v>-0.18605883294918599</v>
      </c>
      <c r="D73" s="10">
        <v>5.6173283017898603</v>
      </c>
      <c r="E73" s="10">
        <v>4.4869357104368499E-2</v>
      </c>
      <c r="F73" s="10" t="str">
        <f>"TTLL7"</f>
        <v>TTLL7</v>
      </c>
      <c r="G73" s="10" t="str">
        <f t="shared" si="1"/>
        <v>protein_coding</v>
      </c>
      <c r="J73" s="14"/>
    </row>
    <row r="74" spans="1:10" x14ac:dyDescent="0.2">
      <c r="A74" s="10" t="str">
        <f>"ENSG00000137975.8"</f>
        <v>ENSG00000137975.8</v>
      </c>
      <c r="B74" s="10">
        <v>-1.85291746365291</v>
      </c>
      <c r="C74" s="10">
        <v>0.65608759793993199</v>
      </c>
      <c r="D74" s="10">
        <v>7.8674445428193298</v>
      </c>
      <c r="E74" s="10">
        <v>2.2745654116461501E-2</v>
      </c>
      <c r="F74" s="10" t="str">
        <f>"CLCA2"</f>
        <v>CLCA2</v>
      </c>
      <c r="G74" s="10" t="str">
        <f t="shared" si="1"/>
        <v>protein_coding</v>
      </c>
      <c r="J74" s="14"/>
    </row>
    <row r="75" spans="1:10" x14ac:dyDescent="0.2">
      <c r="A75" s="10" t="str">
        <f>"ENSG00000117226.12"</f>
        <v>ENSG00000117226.12</v>
      </c>
      <c r="B75" s="10">
        <v>2.8959010115085499</v>
      </c>
      <c r="C75" s="10">
        <v>1.3177886958020899</v>
      </c>
      <c r="D75" s="10">
        <v>80.1267758180052</v>
      </c>
      <c r="E75" s="13">
        <v>1.5986844289102798E-5</v>
      </c>
      <c r="F75" s="10" t="str">
        <f>"GBP3"</f>
        <v>GBP3</v>
      </c>
      <c r="G75" s="10" t="str">
        <f t="shared" si="1"/>
        <v>protein_coding</v>
      </c>
      <c r="J75" s="14"/>
    </row>
    <row r="76" spans="1:10" x14ac:dyDescent="0.2">
      <c r="A76" s="10" t="str">
        <f>"ENSG00000117228.10"</f>
        <v>ENSG00000117228.10</v>
      </c>
      <c r="B76" s="10">
        <v>1.12222850950186</v>
      </c>
      <c r="C76" s="10">
        <v>0.14856223715314601</v>
      </c>
      <c r="D76" s="10">
        <v>7.6748881296242102</v>
      </c>
      <c r="E76" s="10">
        <v>2.3927036462236099E-2</v>
      </c>
      <c r="F76" s="10" t="str">
        <f>"GBP1"</f>
        <v>GBP1</v>
      </c>
      <c r="G76" s="10" t="str">
        <f t="shared" si="1"/>
        <v>protein_coding</v>
      </c>
      <c r="J76" s="14"/>
    </row>
    <row r="77" spans="1:10" x14ac:dyDescent="0.2">
      <c r="A77" s="10" t="str">
        <f>"ENSG00000162645.13"</f>
        <v>ENSG00000162645.13</v>
      </c>
      <c r="B77" s="10">
        <v>2.7376314596804301</v>
      </c>
      <c r="C77" s="10">
        <v>3.3514223630478601</v>
      </c>
      <c r="D77" s="10">
        <v>54.189301375757097</v>
      </c>
      <c r="E77" s="13">
        <v>7.4218785358395599E-5</v>
      </c>
      <c r="F77" s="10" t="str">
        <f>"GBP2"</f>
        <v>GBP2</v>
      </c>
      <c r="G77" s="10" t="str">
        <f t="shared" si="1"/>
        <v>protein_coding</v>
      </c>
      <c r="J77" s="14"/>
    </row>
    <row r="78" spans="1:10" x14ac:dyDescent="0.2">
      <c r="A78" s="10" t="str">
        <f>"ENSG00000226835.2"</f>
        <v>ENSG00000226835.2</v>
      </c>
      <c r="B78" s="10">
        <v>1.8551981988811499</v>
      </c>
      <c r="C78" s="10">
        <v>-1.2229870688490001</v>
      </c>
      <c r="D78" s="10">
        <v>7.7098499347931702</v>
      </c>
      <c r="E78" s="10">
        <v>2.37644697808208E-2</v>
      </c>
      <c r="F78" s="10" t="str">
        <f>"AC097059.1"</f>
        <v>AC097059.1</v>
      </c>
      <c r="G78" s="10" t="str">
        <f>"lincRNA"</f>
        <v>lincRNA</v>
      </c>
      <c r="J78" s="14"/>
    </row>
    <row r="79" spans="1:10" x14ac:dyDescent="0.2">
      <c r="A79" s="10" t="str">
        <f>"ENSG00000172339.10"</f>
        <v>ENSG00000172339.10</v>
      </c>
      <c r="B79" s="10">
        <v>1.01645458831397</v>
      </c>
      <c r="C79" s="10">
        <v>2.8923888578719499</v>
      </c>
      <c r="D79" s="10">
        <v>13.1869816951108</v>
      </c>
      <c r="E79" s="10">
        <v>6.5336381883663499E-3</v>
      </c>
      <c r="F79" s="10" t="str">
        <f>"ALG14"</f>
        <v>ALG14</v>
      </c>
      <c r="G79" s="10" t="str">
        <f t="shared" ref="G79:G86" si="2">"protein_coding"</f>
        <v>protein_coding</v>
      </c>
      <c r="J79" s="14"/>
    </row>
    <row r="80" spans="1:10" x14ac:dyDescent="0.2">
      <c r="A80" s="10" t="str">
        <f>"ENSG00000099260.11"</f>
        <v>ENSG00000099260.11</v>
      </c>
      <c r="B80" s="10">
        <v>1.2817053794876501</v>
      </c>
      <c r="C80" s="10">
        <v>4.2243140793175504</v>
      </c>
      <c r="D80" s="10">
        <v>25.671315254674202</v>
      </c>
      <c r="E80" s="10">
        <v>9.3312329484530302E-4</v>
      </c>
      <c r="F80" s="10" t="str">
        <f>"PALMD"</f>
        <v>PALMD</v>
      </c>
      <c r="G80" s="10" t="str">
        <f t="shared" si="2"/>
        <v>protein_coding</v>
      </c>
      <c r="J80" s="14"/>
    </row>
    <row r="81" spans="1:10" x14ac:dyDescent="0.2">
      <c r="A81" s="10" t="str">
        <f>"ENSG00000156869.13"</f>
        <v>ENSG00000156869.13</v>
      </c>
      <c r="B81" s="10">
        <v>1.4915054387437501</v>
      </c>
      <c r="C81" s="10">
        <v>3.3147663935608498</v>
      </c>
      <c r="D81" s="10">
        <v>8.2606631465353306</v>
      </c>
      <c r="E81" s="10">
        <v>2.0433489342918498E-2</v>
      </c>
      <c r="F81" s="10" t="str">
        <f>"FRRS1"</f>
        <v>FRRS1</v>
      </c>
      <c r="G81" s="10" t="str">
        <f t="shared" si="2"/>
        <v>protein_coding</v>
      </c>
      <c r="J81" s="14"/>
    </row>
    <row r="82" spans="1:10" x14ac:dyDescent="0.2">
      <c r="A82" s="10" t="str">
        <f>"ENSG00000162631.18"</f>
        <v>ENSG00000162631.18</v>
      </c>
      <c r="B82" s="10">
        <v>-2.30188413011152</v>
      </c>
      <c r="C82" s="10">
        <v>-1.7519059686070699</v>
      </c>
      <c r="D82" s="10">
        <v>8.5730394317531697</v>
      </c>
      <c r="E82" s="10">
        <v>1.8561551686416201E-2</v>
      </c>
      <c r="F82" s="10" t="str">
        <f>"NTNG1"</f>
        <v>NTNG1</v>
      </c>
      <c r="G82" s="10" t="str">
        <f t="shared" si="2"/>
        <v>protein_coding</v>
      </c>
      <c r="J82" s="14"/>
    </row>
    <row r="83" spans="1:10" x14ac:dyDescent="0.2">
      <c r="A83" s="10" t="str">
        <f>"ENSG00000162636.16"</f>
        <v>ENSG00000162636.16</v>
      </c>
      <c r="B83" s="10">
        <v>-1.25550817731036</v>
      </c>
      <c r="C83" s="10">
        <v>2.6675190079191702</v>
      </c>
      <c r="D83" s="10">
        <v>13.9105982629097</v>
      </c>
      <c r="E83" s="10">
        <v>5.6642392860039997E-3</v>
      </c>
      <c r="F83" s="10" t="str">
        <f>"FAM102B"</f>
        <v>FAM102B</v>
      </c>
      <c r="G83" s="10" t="str">
        <f t="shared" si="2"/>
        <v>protein_coding</v>
      </c>
      <c r="J83" s="14"/>
    </row>
    <row r="84" spans="1:10" x14ac:dyDescent="0.2">
      <c r="A84" s="10" t="str">
        <f>"ENSG00000215717.6"</f>
        <v>ENSG00000215717.6</v>
      </c>
      <c r="B84" s="10">
        <v>1.0659826574697799</v>
      </c>
      <c r="C84" s="10">
        <v>4.87117752236857</v>
      </c>
      <c r="D84" s="10">
        <v>9.59751113408905</v>
      </c>
      <c r="E84" s="10">
        <v>1.4490330000473201E-2</v>
      </c>
      <c r="F84" s="10" t="str">
        <f>"TMEM167B"</f>
        <v>TMEM167B</v>
      </c>
      <c r="G84" s="10" t="str">
        <f t="shared" si="2"/>
        <v>protein_coding</v>
      </c>
      <c r="J84" s="14"/>
    </row>
    <row r="85" spans="1:10" x14ac:dyDescent="0.2">
      <c r="A85" s="10" t="str">
        <f>"ENSG00000198758.10"</f>
        <v>ENSG00000198758.10</v>
      </c>
      <c r="B85" s="10">
        <v>1.33109921891626</v>
      </c>
      <c r="C85" s="10">
        <v>4.6066616973842001</v>
      </c>
      <c r="D85" s="10">
        <v>32.494278079372201</v>
      </c>
      <c r="E85" s="10">
        <v>4.3415641520310301E-4</v>
      </c>
      <c r="F85" s="10" t="str">
        <f>"EPS8L3"</f>
        <v>EPS8L3</v>
      </c>
      <c r="G85" s="10" t="str">
        <f t="shared" si="2"/>
        <v>protein_coding</v>
      </c>
      <c r="J85" s="14"/>
    </row>
    <row r="86" spans="1:10" x14ac:dyDescent="0.2">
      <c r="A86" s="10" t="str">
        <f>"ENSG00000197106.7"</f>
        <v>ENSG00000197106.7</v>
      </c>
      <c r="B86" s="10">
        <v>-1.7043961650652399</v>
      </c>
      <c r="C86" s="10">
        <v>-1.0561157845295099</v>
      </c>
      <c r="D86" s="10">
        <v>5.3015242543232102</v>
      </c>
      <c r="E86" s="10">
        <v>4.9889372668821798E-2</v>
      </c>
      <c r="F86" s="10" t="str">
        <f>"SLC6A17"</f>
        <v>SLC6A17</v>
      </c>
      <c r="G86" s="10" t="str">
        <f t="shared" si="2"/>
        <v>protein_coding</v>
      </c>
      <c r="J86" s="14"/>
    </row>
    <row r="87" spans="1:10" x14ac:dyDescent="0.2">
      <c r="A87" s="10" t="str">
        <f>"ENSG00000224965.1"</f>
        <v>ENSG00000224965.1</v>
      </c>
      <c r="B87" s="10">
        <v>-1.7056284910777499</v>
      </c>
      <c r="C87" s="10">
        <v>-1.4426496329735801</v>
      </c>
      <c r="D87" s="10">
        <v>6.4027221639698899</v>
      </c>
      <c r="E87" s="10">
        <v>3.4718623722519999E-2</v>
      </c>
      <c r="F87" s="10" t="str">
        <f>"LINC02586"</f>
        <v>LINC02586</v>
      </c>
      <c r="G87" s="10" t="str">
        <f>"antisense"</f>
        <v>antisense</v>
      </c>
      <c r="J87" s="14"/>
    </row>
    <row r="88" spans="1:10" x14ac:dyDescent="0.2">
      <c r="A88" s="10" t="str">
        <f>"ENSG00000116396.14"</f>
        <v>ENSG00000116396.14</v>
      </c>
      <c r="B88" s="10">
        <v>-1.04645500023076</v>
      </c>
      <c r="C88" s="10">
        <v>4.7328731238958497</v>
      </c>
      <c r="D88" s="10">
        <v>5.5329384285769301</v>
      </c>
      <c r="E88" s="10">
        <v>4.6145376557281299E-2</v>
      </c>
      <c r="F88" s="10" t="str">
        <f>"KCNC4"</f>
        <v>KCNC4</v>
      </c>
      <c r="G88" s="10" t="str">
        <f>"protein_coding"</f>
        <v>protein_coding</v>
      </c>
      <c r="J88" s="14"/>
    </row>
    <row r="89" spans="1:10" x14ac:dyDescent="0.2">
      <c r="A89" s="10" t="str">
        <f>"ENSG00000177301.15"</f>
        <v>ENSG00000177301.15</v>
      </c>
      <c r="B89" s="10">
        <v>-2.4425015682051598</v>
      </c>
      <c r="C89" s="10">
        <v>-1.1967826073143399</v>
      </c>
      <c r="D89" s="10">
        <v>9.1281409554627793</v>
      </c>
      <c r="E89" s="10">
        <v>1.62926684848483E-2</v>
      </c>
      <c r="F89" s="10" t="str">
        <f>"KCNA2"</f>
        <v>KCNA2</v>
      </c>
      <c r="G89" s="10" t="str">
        <f>"protein_coding"</f>
        <v>protein_coding</v>
      </c>
      <c r="J89" s="14"/>
    </row>
    <row r="90" spans="1:10" x14ac:dyDescent="0.2">
      <c r="A90" s="10" t="str">
        <f>"ENSG00000260948.1"</f>
        <v>ENSG00000260948.1</v>
      </c>
      <c r="B90" s="10">
        <v>-1.3537746427747499</v>
      </c>
      <c r="C90" s="10">
        <v>0.71579195579033705</v>
      </c>
      <c r="D90" s="10">
        <v>10.0937963341554</v>
      </c>
      <c r="E90" s="10">
        <v>1.2848737642944899E-2</v>
      </c>
      <c r="F90" s="10" t="str">
        <f>"AL390195.2"</f>
        <v>AL390195.2</v>
      </c>
      <c r="G90" s="10" t="str">
        <f>"sense_overlapping"</f>
        <v>sense_overlapping</v>
      </c>
      <c r="J90" s="14"/>
    </row>
    <row r="91" spans="1:10" x14ac:dyDescent="0.2">
      <c r="A91" s="10" t="str">
        <f>"ENSG00000243960.1"</f>
        <v>ENSG00000243960.1</v>
      </c>
      <c r="B91" s="10">
        <v>-1.7843016937599501</v>
      </c>
      <c r="C91" s="10">
        <v>-0.97188226371615605</v>
      </c>
      <c r="D91" s="10">
        <v>11.5851524494697</v>
      </c>
      <c r="E91" s="10">
        <v>8.9143647476918695E-3</v>
      </c>
      <c r="F91" s="10" t="str">
        <f>"AL390195.1"</f>
        <v>AL390195.1</v>
      </c>
      <c r="G91" s="10" t="str">
        <f>"sense_overlapping"</f>
        <v>sense_overlapping</v>
      </c>
      <c r="J91" s="14"/>
    </row>
    <row r="92" spans="1:10" x14ac:dyDescent="0.2">
      <c r="A92" s="10" t="str">
        <f>"ENSG00000231346.5"</f>
        <v>ENSG00000231346.5</v>
      </c>
      <c r="B92" s="10">
        <v>-1.94589362041324</v>
      </c>
      <c r="C92" s="10">
        <v>-0.99068930483041695</v>
      </c>
      <c r="D92" s="10">
        <v>8.6378046728118996</v>
      </c>
      <c r="E92" s="10">
        <v>1.8487363844667901E-2</v>
      </c>
      <c r="F92" s="10" t="str">
        <f>"LINC01160"</f>
        <v>LINC01160</v>
      </c>
      <c r="G92" s="10" t="str">
        <f>"lincRNA"</f>
        <v>lincRNA</v>
      </c>
      <c r="J92" s="14"/>
    </row>
    <row r="93" spans="1:10" x14ac:dyDescent="0.2">
      <c r="A93" s="10" t="str">
        <f>"ENSG00000227811.2"</f>
        <v>ENSG00000227811.2</v>
      </c>
      <c r="B93" s="10">
        <v>-1.45243628325969</v>
      </c>
      <c r="C93" s="10">
        <v>0.71446594212872705</v>
      </c>
      <c r="D93" s="10">
        <v>15.102881233290301</v>
      </c>
      <c r="E93" s="10">
        <v>4.4951185092372298E-3</v>
      </c>
      <c r="F93" s="10" t="str">
        <f>"INKA2-AS1"</f>
        <v>INKA2-AS1</v>
      </c>
      <c r="G93" s="10" t="str">
        <f>"bidirectional_promoter_lncRNA"</f>
        <v>bidirectional_promoter_lncRNA</v>
      </c>
      <c r="J93" s="14"/>
    </row>
    <row r="94" spans="1:10" x14ac:dyDescent="0.2">
      <c r="A94" s="10" t="str">
        <f>"ENSG00000173212.4"</f>
        <v>ENSG00000173212.4</v>
      </c>
      <c r="B94" s="10">
        <v>1.2761795901149999</v>
      </c>
      <c r="C94" s="10">
        <v>2.9863564253536801</v>
      </c>
      <c r="D94" s="10">
        <v>16.580092835424601</v>
      </c>
      <c r="E94" s="10">
        <v>3.4825522507422901E-3</v>
      </c>
      <c r="F94" s="10" t="str">
        <f>"MAB21L3"</f>
        <v>MAB21L3</v>
      </c>
      <c r="G94" s="10" t="str">
        <f>"protein_coding"</f>
        <v>protein_coding</v>
      </c>
      <c r="J94" s="14"/>
    </row>
    <row r="95" spans="1:10" x14ac:dyDescent="0.2">
      <c r="A95" s="10" t="str">
        <f>"ENSG00000221040.2"</f>
        <v>ENSG00000221040.2</v>
      </c>
      <c r="B95" s="10">
        <v>-1.73948581434259</v>
      </c>
      <c r="C95" s="10">
        <v>-1.7958416690805401</v>
      </c>
      <c r="D95" s="10">
        <v>6.5368332020361297</v>
      </c>
      <c r="E95" s="10">
        <v>3.3044204460312698E-2</v>
      </c>
      <c r="F95" s="10" t="str">
        <f>"RF00012"</f>
        <v>RF00012</v>
      </c>
      <c r="G95" s="10" t="str">
        <f>"snoRNA"</f>
        <v>snoRNA</v>
      </c>
      <c r="J95" s="14"/>
    </row>
    <row r="96" spans="1:10" x14ac:dyDescent="0.2">
      <c r="A96" s="10" t="str">
        <f>"ENSG00000177173.5"</f>
        <v>ENSG00000177173.5</v>
      </c>
      <c r="B96" s="10">
        <v>1.43117883343518</v>
      </c>
      <c r="C96" s="10">
        <v>2.7658520759832799</v>
      </c>
      <c r="D96" s="10">
        <v>25.541819169917499</v>
      </c>
      <c r="E96" s="10">
        <v>9.4819701843996496E-4</v>
      </c>
      <c r="F96" s="10" t="str">
        <f>"NAP1L4P1"</f>
        <v>NAP1L4P1</v>
      </c>
      <c r="G96" s="10" t="str">
        <f>"processed_pseudogene"</f>
        <v>processed_pseudogene</v>
      </c>
      <c r="J96" s="14"/>
    </row>
    <row r="97" spans="1:10" x14ac:dyDescent="0.2">
      <c r="A97" s="10" t="str">
        <f>"ENSG00000143061.17"</f>
        <v>ENSG00000143061.17</v>
      </c>
      <c r="B97" s="10">
        <v>-1.80484815681681</v>
      </c>
      <c r="C97" s="10">
        <v>1.9397752983751</v>
      </c>
      <c r="D97" s="10">
        <v>12.3306757018151</v>
      </c>
      <c r="E97" s="10">
        <v>7.7902380948291303E-3</v>
      </c>
      <c r="F97" s="10" t="str">
        <f>"IGSF3"</f>
        <v>IGSF3</v>
      </c>
      <c r="G97" s="10" t="str">
        <f>"protein_coding"</f>
        <v>protein_coding</v>
      </c>
      <c r="J97" s="14"/>
    </row>
    <row r="98" spans="1:10" x14ac:dyDescent="0.2">
      <c r="A98" s="10" t="str">
        <f>"ENSG00000092607.15"</f>
        <v>ENSG00000092607.15</v>
      </c>
      <c r="B98" s="10">
        <v>-1.5352177653129699</v>
      </c>
      <c r="C98" s="10">
        <v>3.5673930558693399</v>
      </c>
      <c r="D98" s="10">
        <v>35.677151321555797</v>
      </c>
      <c r="E98" s="10">
        <v>3.1758576910857902E-4</v>
      </c>
      <c r="F98" s="10" t="str">
        <f>"TBX15"</f>
        <v>TBX15</v>
      </c>
      <c r="G98" s="10" t="str">
        <f>"protein_coding"</f>
        <v>protein_coding</v>
      </c>
      <c r="J98" s="14"/>
    </row>
    <row r="99" spans="1:10" x14ac:dyDescent="0.2">
      <c r="A99" s="10" t="str">
        <f>"ENSG00000226443.3"</f>
        <v>ENSG00000226443.3</v>
      </c>
      <c r="B99" s="10">
        <v>-1.6220911341301101</v>
      </c>
      <c r="C99" s="10">
        <v>-0.16147229069275501</v>
      </c>
      <c r="D99" s="10">
        <v>11.888114958914599</v>
      </c>
      <c r="E99" s="10">
        <v>8.5587115837526505E-3</v>
      </c>
      <c r="F99" s="10" t="str">
        <f>"GAPDHP32"</f>
        <v>GAPDHP32</v>
      </c>
      <c r="G99" s="10" t="str">
        <f>"processed_pseudogene"</f>
        <v>processed_pseudogene</v>
      </c>
      <c r="J99" s="14"/>
    </row>
    <row r="100" spans="1:10" x14ac:dyDescent="0.2">
      <c r="A100" s="10" t="str">
        <f>"ENSG00000134240.11"</f>
        <v>ENSG00000134240.11</v>
      </c>
      <c r="B100" s="10">
        <v>-1.40865636826495</v>
      </c>
      <c r="C100" s="10">
        <v>-0.77656518654712703</v>
      </c>
      <c r="D100" s="10">
        <v>5.9759131668969996</v>
      </c>
      <c r="E100" s="10">
        <v>3.9921568161248297E-2</v>
      </c>
      <c r="F100" s="10" t="str">
        <f>"HMGCS2"</f>
        <v>HMGCS2</v>
      </c>
      <c r="G100" s="10" t="str">
        <f>"protein_coding"</f>
        <v>protein_coding</v>
      </c>
      <c r="J100" s="14"/>
    </row>
    <row r="101" spans="1:10" x14ac:dyDescent="0.2">
      <c r="A101" s="10" t="str">
        <f>"ENSG00000232527.7"</f>
        <v>ENSG00000232527.7</v>
      </c>
      <c r="B101" s="10">
        <v>2.8959640322109999</v>
      </c>
      <c r="C101" s="10">
        <v>-0.52246221123542802</v>
      </c>
      <c r="D101" s="10">
        <v>7.9159758923233401</v>
      </c>
      <c r="E101" s="10">
        <v>2.2443042652328899E-2</v>
      </c>
      <c r="F101" s="10" t="str">
        <f>"AC245595.1"</f>
        <v>AC245595.1</v>
      </c>
      <c r="G101" s="10" t="str">
        <f>"lincRNA"</f>
        <v>lincRNA</v>
      </c>
      <c r="J101" s="14"/>
    </row>
    <row r="102" spans="1:10" x14ac:dyDescent="0.2">
      <c r="A102" s="10" t="str">
        <f>"ENSG00000143127.13"</f>
        <v>ENSG00000143127.13</v>
      </c>
      <c r="B102" s="10">
        <v>1.8079267822202501</v>
      </c>
      <c r="C102" s="10">
        <v>0.317232277713074</v>
      </c>
      <c r="D102" s="10">
        <v>12.5322831883029</v>
      </c>
      <c r="E102" s="10">
        <v>7.4688891494996404E-3</v>
      </c>
      <c r="F102" s="10" t="str">
        <f>"ITGA10"</f>
        <v>ITGA10</v>
      </c>
      <c r="G102" s="10" t="str">
        <f>"protein_coding"</f>
        <v>protein_coding</v>
      </c>
      <c r="J102" s="14"/>
    </row>
    <row r="103" spans="1:10" x14ac:dyDescent="0.2">
      <c r="A103" s="10" t="str">
        <f>"ENSG00000211451.12"</f>
        <v>ENSG00000211451.12</v>
      </c>
      <c r="B103" s="10">
        <v>1.9128476145286299</v>
      </c>
      <c r="C103" s="10">
        <v>-0.73558816159983498</v>
      </c>
      <c r="D103" s="10">
        <v>15.7658670998422</v>
      </c>
      <c r="E103" s="10">
        <v>3.8810558676377598E-3</v>
      </c>
      <c r="F103" s="10" t="str">
        <f>"GNRHR2"</f>
        <v>GNRHR2</v>
      </c>
      <c r="G103" s="10" t="str">
        <f>"transcribed_unitary_pseudogene"</f>
        <v>transcribed_unitary_pseudogene</v>
      </c>
      <c r="J103" s="14"/>
    </row>
    <row r="104" spans="1:10" x14ac:dyDescent="0.2">
      <c r="A104" s="10" t="str">
        <f>"ENSG00000201558.1"</f>
        <v>ENSG00000201558.1</v>
      </c>
      <c r="B104" s="10">
        <v>-2.1471002993316302</v>
      </c>
      <c r="C104" s="10">
        <v>-1.58147545876238</v>
      </c>
      <c r="D104" s="10">
        <v>7.68141910138129</v>
      </c>
      <c r="E104" s="10">
        <v>2.3954354165132499E-2</v>
      </c>
      <c r="F104" s="10" t="str">
        <f>"RNVU1-6"</f>
        <v>RNVU1-6</v>
      </c>
      <c r="G104" s="10" t="str">
        <f>"snRNA"</f>
        <v>snRNA</v>
      </c>
      <c r="J104" s="14"/>
    </row>
    <row r="105" spans="1:10" x14ac:dyDescent="0.2">
      <c r="A105" s="10" t="str">
        <f>"ENSG00000277406.2"</f>
        <v>ENSG00000277406.2</v>
      </c>
      <c r="B105" s="10">
        <v>2.1698207918971701</v>
      </c>
      <c r="C105" s="10">
        <v>-1.7242018396969201</v>
      </c>
      <c r="D105" s="10">
        <v>5.49051450500209</v>
      </c>
      <c r="E105" s="10">
        <v>4.6804283223432198E-2</v>
      </c>
      <c r="F105" s="10" t="str">
        <f>"SEC22B4P"</f>
        <v>SEC22B4P</v>
      </c>
      <c r="G105" s="10" t="str">
        <f>"transcribed_unprocessed_pseudogene"</f>
        <v>transcribed_unprocessed_pseudogene</v>
      </c>
      <c r="J105" s="14"/>
    </row>
    <row r="106" spans="1:10" x14ac:dyDescent="0.2">
      <c r="A106" s="10" t="str">
        <f>"ENSG00000237188.5"</f>
        <v>ENSG00000237188.5</v>
      </c>
      <c r="B106" s="10">
        <v>1.99091688723511</v>
      </c>
      <c r="C106" s="10">
        <v>-1.43994810276734</v>
      </c>
      <c r="D106" s="10">
        <v>7.2892307065210602</v>
      </c>
      <c r="E106" s="10">
        <v>2.67800794960001E-2</v>
      </c>
      <c r="F106" s="10" t="str">
        <f>"AC242426.2"</f>
        <v>AC242426.2</v>
      </c>
      <c r="G106" s="10" t="str">
        <f>"antisense"</f>
        <v>antisense</v>
      </c>
      <c r="J106" s="14"/>
    </row>
    <row r="107" spans="1:10" x14ac:dyDescent="0.2">
      <c r="A107" s="10" t="str">
        <f>"ENSG00000131781.13"</f>
        <v>ENSG00000131781.13</v>
      </c>
      <c r="B107" s="10">
        <v>2.8613151596048101</v>
      </c>
      <c r="C107" s="10">
        <v>5.5679516149172796</v>
      </c>
      <c r="D107" s="10">
        <v>14.8760708414292</v>
      </c>
      <c r="E107" s="10">
        <v>4.7176853403785501E-3</v>
      </c>
      <c r="F107" s="10" t="str">
        <f>"FMO5"</f>
        <v>FMO5</v>
      </c>
      <c r="G107" s="10" t="str">
        <f>"protein_coding"</f>
        <v>protein_coding</v>
      </c>
      <c r="J107" s="14"/>
    </row>
    <row r="108" spans="1:10" x14ac:dyDescent="0.2">
      <c r="A108" s="10" t="str">
        <f>"ENSG00000226015.2"</f>
        <v>ENSG00000226015.2</v>
      </c>
      <c r="B108" s="10">
        <v>1.5080157583721601</v>
      </c>
      <c r="C108" s="10">
        <v>2.3892067350102502</v>
      </c>
      <c r="D108" s="10">
        <v>9.3245142269774099</v>
      </c>
      <c r="E108" s="10">
        <v>1.5506152319689499E-2</v>
      </c>
      <c r="F108" s="10" t="str">
        <f>"CCT8P1"</f>
        <v>CCT8P1</v>
      </c>
      <c r="G108" s="10" t="str">
        <f>"processed_pseudogene"</f>
        <v>processed_pseudogene</v>
      </c>
      <c r="J108" s="14"/>
    </row>
    <row r="109" spans="1:10" x14ac:dyDescent="0.2">
      <c r="A109" s="10" t="str">
        <f>"ENSG00000162836.12"</f>
        <v>ENSG00000162836.12</v>
      </c>
      <c r="B109" s="10">
        <v>1.06707591545563</v>
      </c>
      <c r="C109" s="10">
        <v>4.4854256152196896</v>
      </c>
      <c r="D109" s="10">
        <v>23.412497884420201</v>
      </c>
      <c r="E109" s="10">
        <v>1.22955909551903E-3</v>
      </c>
      <c r="F109" s="10" t="str">
        <f>"ACP6"</f>
        <v>ACP6</v>
      </c>
      <c r="G109" s="10" t="str">
        <f t="shared" ref="G109:G115" si="3">"protein_coding"</f>
        <v>protein_coding</v>
      </c>
      <c r="J109" s="14"/>
    </row>
    <row r="110" spans="1:10" x14ac:dyDescent="0.2">
      <c r="A110" s="10" t="str">
        <f>"ENSG00000177144.7"</f>
        <v>ENSG00000177144.7</v>
      </c>
      <c r="B110" s="10">
        <v>-3.7572777546233098</v>
      </c>
      <c r="C110" s="10">
        <v>-1.7612009764082699</v>
      </c>
      <c r="D110" s="10">
        <v>15.147980279147401</v>
      </c>
      <c r="E110" s="10">
        <v>4.4650694315632898E-3</v>
      </c>
      <c r="F110" s="10" t="str">
        <f>"NUDT4B"</f>
        <v>NUDT4B</v>
      </c>
      <c r="G110" s="10" t="str">
        <f t="shared" si="3"/>
        <v>protein_coding</v>
      </c>
      <c r="J110" s="14"/>
    </row>
    <row r="111" spans="1:10" x14ac:dyDescent="0.2">
      <c r="A111" s="10" t="str">
        <f>"ENSG00000270276.2"</f>
        <v>ENSG00000270276.2</v>
      </c>
      <c r="B111" s="10">
        <v>2.6727621669011299</v>
      </c>
      <c r="C111" s="10">
        <v>-0.200420187812277</v>
      </c>
      <c r="D111" s="10">
        <v>22.455484236980102</v>
      </c>
      <c r="E111" s="10">
        <v>1.4175853902328099E-3</v>
      </c>
      <c r="F111" s="10" t="str">
        <f>"HIST2H4B"</f>
        <v>HIST2H4B</v>
      </c>
      <c r="G111" s="10" t="str">
        <f t="shared" si="3"/>
        <v>protein_coding</v>
      </c>
      <c r="J111" s="14"/>
    </row>
    <row r="112" spans="1:10" x14ac:dyDescent="0.2">
      <c r="A112" s="10" t="str">
        <f>"ENSG00000014914.21"</f>
        <v>ENSG00000014914.21</v>
      </c>
      <c r="B112" s="10">
        <v>1.8059190407974099</v>
      </c>
      <c r="C112" s="10">
        <v>2.2239761333089598</v>
      </c>
      <c r="D112" s="10">
        <v>50.383566125500003</v>
      </c>
      <c r="E112" s="13">
        <v>8.8503102061986998E-5</v>
      </c>
      <c r="F112" s="10" t="str">
        <f>"MTMR11"</f>
        <v>MTMR11</v>
      </c>
      <c r="G112" s="10" t="str">
        <f t="shared" si="3"/>
        <v>protein_coding</v>
      </c>
      <c r="J112" s="14"/>
    </row>
    <row r="113" spans="1:10" x14ac:dyDescent="0.2">
      <c r="A113" s="10" t="str">
        <f>"ENSG00000143401.15"</f>
        <v>ENSG00000143401.15</v>
      </c>
      <c r="B113" s="10">
        <v>1.2480941978300899</v>
      </c>
      <c r="C113" s="10">
        <v>5.2192402668689599</v>
      </c>
      <c r="D113" s="10">
        <v>16.3279833110842</v>
      </c>
      <c r="E113" s="10">
        <v>3.6373116934588501E-3</v>
      </c>
      <c r="F113" s="10" t="str">
        <f>"ANP32E"</f>
        <v>ANP32E</v>
      </c>
      <c r="G113" s="10" t="str">
        <f t="shared" si="3"/>
        <v>protein_coding</v>
      </c>
      <c r="J113" s="14"/>
    </row>
    <row r="114" spans="1:10" x14ac:dyDescent="0.2">
      <c r="A114" s="10" t="str">
        <f>"ENSG00000163131.11"</f>
        <v>ENSG00000163131.11</v>
      </c>
      <c r="B114" s="10">
        <v>1.1359340352756599</v>
      </c>
      <c r="C114" s="10">
        <v>1.6643038362248499</v>
      </c>
      <c r="D114" s="10">
        <v>8.6270399411076006</v>
      </c>
      <c r="E114" s="10">
        <v>1.8539592848532301E-2</v>
      </c>
      <c r="F114" s="10" t="str">
        <f>"CTSS"</f>
        <v>CTSS</v>
      </c>
      <c r="G114" s="10" t="str">
        <f t="shared" si="3"/>
        <v>protein_coding</v>
      </c>
      <c r="J114" s="14"/>
    </row>
    <row r="115" spans="1:10" x14ac:dyDescent="0.2">
      <c r="A115" s="10" t="str">
        <f>"ENSG00000213190.3"</f>
        <v>ENSG00000213190.3</v>
      </c>
      <c r="B115" s="10">
        <v>2.65693865230091</v>
      </c>
      <c r="C115" s="10">
        <v>2.9505573085111201</v>
      </c>
      <c r="D115" s="10">
        <v>96.996527252968804</v>
      </c>
      <c r="E115" s="13">
        <v>8.0650170119608401E-6</v>
      </c>
      <c r="F115" s="10" t="str">
        <f>"MLLT11"</f>
        <v>MLLT11</v>
      </c>
      <c r="G115" s="10" t="str">
        <f t="shared" si="3"/>
        <v>protein_coding</v>
      </c>
      <c r="J115" s="14"/>
    </row>
    <row r="116" spans="1:10" x14ac:dyDescent="0.2">
      <c r="A116" s="10" t="str">
        <f>"ENSG00000237976.1"</f>
        <v>ENSG00000237976.1</v>
      </c>
      <c r="B116" s="10">
        <v>-1.77628569714615</v>
      </c>
      <c r="C116" s="10">
        <v>-0.78606205451371103</v>
      </c>
      <c r="D116" s="10">
        <v>5.9395406319757802</v>
      </c>
      <c r="E116" s="10">
        <v>4.0390792899163697E-2</v>
      </c>
      <c r="F116" s="10" t="str">
        <f>"AL391069.2"</f>
        <v>AL391069.2</v>
      </c>
      <c r="G116" s="10" t="str">
        <f>"antisense"</f>
        <v>antisense</v>
      </c>
      <c r="J116" s="14"/>
    </row>
    <row r="117" spans="1:10" x14ac:dyDescent="0.2">
      <c r="A117" s="10" t="str">
        <f>"ENSG00000159409.14"</f>
        <v>ENSG00000159409.14</v>
      </c>
      <c r="B117" s="10">
        <v>-1.47692320007403</v>
      </c>
      <c r="C117" s="10">
        <v>2.54896049423381</v>
      </c>
      <c r="D117" s="10">
        <v>7.3973481822029701</v>
      </c>
      <c r="E117" s="10">
        <v>2.5960897895479999E-2</v>
      </c>
      <c r="F117" s="10" t="str">
        <f>"CELF3"</f>
        <v>CELF3</v>
      </c>
      <c r="G117" s="10" t="str">
        <f>"protein_coding"</f>
        <v>protein_coding</v>
      </c>
      <c r="J117" s="14"/>
    </row>
    <row r="118" spans="1:10" x14ac:dyDescent="0.2">
      <c r="A118" s="10" t="str">
        <f>"ENSG00000188643.11"</f>
        <v>ENSG00000188643.11</v>
      </c>
      <c r="B118" s="10">
        <v>1.2868654540008999</v>
      </c>
      <c r="C118" s="10">
        <v>6.24714633872152</v>
      </c>
      <c r="D118" s="10">
        <v>31.357560773754301</v>
      </c>
      <c r="E118" s="10">
        <v>4.88437483200061E-4</v>
      </c>
      <c r="F118" s="10" t="str">
        <f>"S100A16"</f>
        <v>S100A16</v>
      </c>
      <c r="G118" s="10" t="str">
        <f>"protein_coding"</f>
        <v>protein_coding</v>
      </c>
      <c r="J118" s="14"/>
    </row>
    <row r="119" spans="1:10" x14ac:dyDescent="0.2">
      <c r="A119" s="10" t="str">
        <f>"ENSG00000160712.13"</f>
        <v>ENSG00000160712.13</v>
      </c>
      <c r="B119" s="10">
        <v>1.19576219479122</v>
      </c>
      <c r="C119" s="10">
        <v>5.6155000041304897</v>
      </c>
      <c r="D119" s="10">
        <v>27.851046221495899</v>
      </c>
      <c r="E119" s="10">
        <v>7.1906806002795505E-4</v>
      </c>
      <c r="F119" s="10" t="str">
        <f>"IL6R"</f>
        <v>IL6R</v>
      </c>
      <c r="G119" s="10" t="str">
        <f>"protein_coding"</f>
        <v>protein_coding</v>
      </c>
      <c r="J119" s="14"/>
    </row>
    <row r="120" spans="1:10" x14ac:dyDescent="0.2">
      <c r="A120" s="10" t="str">
        <f>"ENSG00000163239.12"</f>
        <v>ENSG00000163239.12</v>
      </c>
      <c r="B120" s="10">
        <v>-2.62625350701351</v>
      </c>
      <c r="C120" s="10">
        <v>-1.8968640995113799</v>
      </c>
      <c r="D120" s="10">
        <v>5.8934991524106097</v>
      </c>
      <c r="E120" s="10">
        <v>4.0994835240988702E-2</v>
      </c>
      <c r="F120" s="10" t="str">
        <f>"TDRD10"</f>
        <v>TDRD10</v>
      </c>
      <c r="G120" s="10" t="str">
        <f>"protein_coding"</f>
        <v>protein_coding</v>
      </c>
      <c r="J120" s="14"/>
    </row>
    <row r="121" spans="1:10" x14ac:dyDescent="0.2">
      <c r="A121" s="10" t="str">
        <f>"ENSG00000231064.7"</f>
        <v>ENSG00000231064.7</v>
      </c>
      <c r="B121" s="10">
        <v>-3.2579098296483702</v>
      </c>
      <c r="C121" s="10">
        <v>-2.0456142022753099</v>
      </c>
      <c r="D121" s="10">
        <v>5.6494743744278297</v>
      </c>
      <c r="E121" s="10">
        <v>4.4395102600806098E-2</v>
      </c>
      <c r="F121" s="10" t="str">
        <f>"AC234582.1"</f>
        <v>AC234582.1</v>
      </c>
      <c r="G121" s="10" t="str">
        <f>"antisense"</f>
        <v>antisense</v>
      </c>
      <c r="J121" s="14"/>
    </row>
    <row r="122" spans="1:10" x14ac:dyDescent="0.2">
      <c r="A122" s="10" t="str">
        <f>"ENSG00000143627.19"</f>
        <v>ENSG00000143627.19</v>
      </c>
      <c r="B122" s="10">
        <v>1.85167439782676</v>
      </c>
      <c r="C122" s="10">
        <v>1.80390554221093</v>
      </c>
      <c r="D122" s="10">
        <v>34.858503765927601</v>
      </c>
      <c r="E122" s="10">
        <v>3.3381037819679E-4</v>
      </c>
      <c r="F122" s="10" t="str">
        <f>"PKLR"</f>
        <v>PKLR</v>
      </c>
      <c r="G122" s="10" t="str">
        <f>"protein_coding"</f>
        <v>protein_coding</v>
      </c>
      <c r="J122" s="14"/>
    </row>
    <row r="123" spans="1:10" x14ac:dyDescent="0.2">
      <c r="A123" s="10" t="str">
        <f>"ENSG00000272068.1"</f>
        <v>ENSG00000272068.1</v>
      </c>
      <c r="B123" s="10">
        <v>1.28213958917392</v>
      </c>
      <c r="C123" s="10">
        <v>2.0313738129936501</v>
      </c>
      <c r="D123" s="10">
        <v>10.7563591317081</v>
      </c>
      <c r="E123" s="10">
        <v>1.10042299001996E-2</v>
      </c>
      <c r="F123" s="10" t="str">
        <f>"AL365181.2"</f>
        <v>AL365181.2</v>
      </c>
      <c r="G123" s="10" t="str">
        <f>"lincRNA"</f>
        <v>lincRNA</v>
      </c>
      <c r="J123" s="14"/>
    </row>
    <row r="124" spans="1:10" x14ac:dyDescent="0.2">
      <c r="A124" s="10" t="str">
        <f>"ENSG00000143320.9"</f>
        <v>ENSG00000143320.9</v>
      </c>
      <c r="B124" s="10">
        <v>-1.19030479297494</v>
      </c>
      <c r="C124" s="10">
        <v>2.4766070252421399</v>
      </c>
      <c r="D124" s="10">
        <v>5.4624525548827698</v>
      </c>
      <c r="E124" s="10">
        <v>4.7246711222887601E-2</v>
      </c>
      <c r="F124" s="10" t="str">
        <f>"CRABP2"</f>
        <v>CRABP2</v>
      </c>
      <c r="G124" s="10" t="str">
        <f>"protein_coding"</f>
        <v>protein_coding</v>
      </c>
      <c r="J124" s="14"/>
    </row>
    <row r="125" spans="1:10" x14ac:dyDescent="0.2">
      <c r="A125" s="10" t="str">
        <f>"ENSG00000224520.2"</f>
        <v>ENSG00000224520.2</v>
      </c>
      <c r="B125" s="10">
        <v>-1.56617241134934</v>
      </c>
      <c r="C125" s="10">
        <v>2.47748621848829</v>
      </c>
      <c r="D125" s="10">
        <v>10.535423945338501</v>
      </c>
      <c r="E125" s="10">
        <v>1.15799563310231E-2</v>
      </c>
      <c r="F125" s="10" t="str">
        <f>"KRT8P45"</f>
        <v>KRT8P45</v>
      </c>
      <c r="G125" s="10" t="str">
        <f>"processed_pseudogene"</f>
        <v>processed_pseudogene</v>
      </c>
      <c r="J125" s="14"/>
    </row>
    <row r="126" spans="1:10" x14ac:dyDescent="0.2">
      <c r="A126" s="10" t="str">
        <f>"ENSG00000183853.18"</f>
        <v>ENSG00000183853.18</v>
      </c>
      <c r="B126" s="10">
        <v>-2.1835164042761899</v>
      </c>
      <c r="C126" s="10">
        <v>-0.6063220718558</v>
      </c>
      <c r="D126" s="10">
        <v>14.1104878407311</v>
      </c>
      <c r="E126" s="10">
        <v>5.4500116314205403E-3</v>
      </c>
      <c r="F126" s="10" t="str">
        <f>"KIRREL1"</f>
        <v>KIRREL1</v>
      </c>
      <c r="G126" s="10" t="str">
        <f t="shared" ref="G126:G135" si="4">"protein_coding"</f>
        <v>protein_coding</v>
      </c>
      <c r="J126" s="14"/>
    </row>
    <row r="127" spans="1:10" x14ac:dyDescent="0.2">
      <c r="A127" s="10" t="str">
        <f>"ENSG00000171786.6"</f>
        <v>ENSG00000171786.6</v>
      </c>
      <c r="B127" s="10">
        <v>-2.1837124577956</v>
      </c>
      <c r="C127" s="10">
        <v>-0.71707912840830801</v>
      </c>
      <c r="D127" s="10">
        <v>15.9269243425471</v>
      </c>
      <c r="E127" s="10">
        <v>3.88884900234306E-3</v>
      </c>
      <c r="F127" s="10" t="str">
        <f>"NHLH1"</f>
        <v>NHLH1</v>
      </c>
      <c r="G127" s="10" t="str">
        <f t="shared" si="4"/>
        <v>protein_coding</v>
      </c>
      <c r="J127" s="14"/>
    </row>
    <row r="128" spans="1:10" x14ac:dyDescent="0.2">
      <c r="A128" s="10" t="str">
        <f>"ENSG00000158764.7"</f>
        <v>ENSG00000158764.7</v>
      </c>
      <c r="B128" s="10">
        <v>-3.0768892760222499</v>
      </c>
      <c r="C128" s="10">
        <v>-0.53611012636214705</v>
      </c>
      <c r="D128" s="10">
        <v>22.153725030832199</v>
      </c>
      <c r="E128" s="10">
        <v>1.47775379557766E-3</v>
      </c>
      <c r="F128" s="10" t="str">
        <f>"ITLN2"</f>
        <v>ITLN2</v>
      </c>
      <c r="G128" s="10" t="str">
        <f t="shared" si="4"/>
        <v>protein_coding</v>
      </c>
      <c r="J128" s="14"/>
    </row>
    <row r="129" spans="1:10" x14ac:dyDescent="0.2">
      <c r="A129" s="10" t="str">
        <f>"ENSG00000270149.5"</f>
        <v>ENSG00000270149.5</v>
      </c>
      <c r="B129" s="10">
        <v>-1.62572107573416</v>
      </c>
      <c r="C129" s="10">
        <v>-0.75957931991324201</v>
      </c>
      <c r="D129" s="10">
        <v>8.3700641655712893</v>
      </c>
      <c r="E129" s="10">
        <v>1.9843442218319001E-2</v>
      </c>
      <c r="F129" s="10" t="str">
        <f>"AL591806.3"</f>
        <v>AL591806.3</v>
      </c>
      <c r="G129" s="10" t="str">
        <f t="shared" si="4"/>
        <v>protein_coding</v>
      </c>
      <c r="J129" s="14"/>
    </row>
    <row r="130" spans="1:10" x14ac:dyDescent="0.2">
      <c r="A130" s="10" t="str">
        <f>"ENSG00000186517.14"</f>
        <v>ENSG00000186517.14</v>
      </c>
      <c r="B130" s="10">
        <v>-1.3116853891201701</v>
      </c>
      <c r="C130" s="10">
        <v>0.45829469157348801</v>
      </c>
      <c r="D130" s="10">
        <v>8.1902080781606301</v>
      </c>
      <c r="E130" s="10">
        <v>2.0825209687516701E-2</v>
      </c>
      <c r="F130" s="10" t="str">
        <f>"ARHGAP30"</f>
        <v>ARHGAP30</v>
      </c>
      <c r="G130" s="10" t="str">
        <f t="shared" si="4"/>
        <v>protein_coding</v>
      </c>
      <c r="J130" s="14"/>
    </row>
    <row r="131" spans="1:10" x14ac:dyDescent="0.2">
      <c r="A131" s="10" t="str">
        <f>"ENSG00000158869.11"</f>
        <v>ENSG00000158869.11</v>
      </c>
      <c r="B131" s="10">
        <v>1.94899333851307</v>
      </c>
      <c r="C131" s="10">
        <v>-0.16791867862623699</v>
      </c>
      <c r="D131" s="10">
        <v>15.6045136255181</v>
      </c>
      <c r="E131" s="10">
        <v>4.1318055723386102E-3</v>
      </c>
      <c r="F131" s="10" t="str">
        <f>"FCER1G"</f>
        <v>FCER1G</v>
      </c>
      <c r="G131" s="10" t="str">
        <f t="shared" si="4"/>
        <v>protein_coding</v>
      </c>
      <c r="J131" s="14"/>
    </row>
    <row r="132" spans="1:10" x14ac:dyDescent="0.2">
      <c r="A132" s="10" t="str">
        <f>"ENSG00000132185.16"</f>
        <v>ENSG00000132185.16</v>
      </c>
      <c r="B132" s="10">
        <v>-1.83590482910942</v>
      </c>
      <c r="C132" s="10">
        <v>1.9922892998022701</v>
      </c>
      <c r="D132" s="10">
        <v>8.9664498288468497</v>
      </c>
      <c r="E132" s="10">
        <v>1.6978258465765499E-2</v>
      </c>
      <c r="F132" s="10" t="str">
        <f>"FCRLA"</f>
        <v>FCRLA</v>
      </c>
      <c r="G132" s="10" t="str">
        <f t="shared" si="4"/>
        <v>protein_coding</v>
      </c>
      <c r="J132" s="14"/>
    </row>
    <row r="133" spans="1:10" x14ac:dyDescent="0.2">
      <c r="A133" s="10" t="str">
        <f>"ENSG00000162745.10"</f>
        <v>ENSG00000162745.10</v>
      </c>
      <c r="B133" s="10">
        <v>-2.4493545837566799</v>
      </c>
      <c r="C133" s="10">
        <v>-1.9954771712169701</v>
      </c>
      <c r="D133" s="10">
        <v>7.05207947912786</v>
      </c>
      <c r="E133" s="10">
        <v>2.85971857936866E-2</v>
      </c>
      <c r="F133" s="10" t="str">
        <f>"OLFML2B"</f>
        <v>OLFML2B</v>
      </c>
      <c r="G133" s="10" t="str">
        <f t="shared" si="4"/>
        <v>protein_coding</v>
      </c>
      <c r="J133" s="14"/>
    </row>
    <row r="134" spans="1:10" x14ac:dyDescent="0.2">
      <c r="A134" s="10" t="str">
        <f>"ENSG00000188859.6"</f>
        <v>ENSG00000188859.6</v>
      </c>
      <c r="B134" s="10">
        <v>-1.7165436261536999</v>
      </c>
      <c r="C134" s="10">
        <v>-1.62828354555387</v>
      </c>
      <c r="D134" s="10">
        <v>6.2025070476677699</v>
      </c>
      <c r="E134" s="10">
        <v>3.6685508849882101E-2</v>
      </c>
      <c r="F134" s="10" t="str">
        <f>"FAM78B"</f>
        <v>FAM78B</v>
      </c>
      <c r="G134" s="10" t="str">
        <f t="shared" si="4"/>
        <v>protein_coding</v>
      </c>
      <c r="J134" s="14"/>
    </row>
    <row r="135" spans="1:10" x14ac:dyDescent="0.2">
      <c r="A135" s="10" t="str">
        <f>"ENSG00000143194.13"</f>
        <v>ENSG00000143194.13</v>
      </c>
      <c r="B135" s="10">
        <v>-1.3410239961617301</v>
      </c>
      <c r="C135" s="10">
        <v>-0.175058381853923</v>
      </c>
      <c r="D135" s="10">
        <v>6.98283779045848</v>
      </c>
      <c r="E135" s="10">
        <v>2.92857556419861E-2</v>
      </c>
      <c r="F135" s="10" t="str">
        <f>"MAEL"</f>
        <v>MAEL</v>
      </c>
      <c r="G135" s="10" t="str">
        <f t="shared" si="4"/>
        <v>protein_coding</v>
      </c>
      <c r="J135" s="14"/>
    </row>
    <row r="136" spans="1:10" x14ac:dyDescent="0.2">
      <c r="A136" s="10" t="str">
        <f>"ENSG00000272205.1"</f>
        <v>ENSG00000272205.1</v>
      </c>
      <c r="B136" s="10">
        <v>-1.95483268515697</v>
      </c>
      <c r="C136" s="10">
        <v>-0.423405739035912</v>
      </c>
      <c r="D136" s="10">
        <v>10.132453332570099</v>
      </c>
      <c r="E136" s="10">
        <v>1.2730919429005101E-2</v>
      </c>
      <c r="F136" s="10" t="str">
        <f>"AL451050.2"</f>
        <v>AL451050.2</v>
      </c>
      <c r="G136" s="10" t="str">
        <f>"lincRNA"</f>
        <v>lincRNA</v>
      </c>
      <c r="J136" s="14"/>
    </row>
    <row r="137" spans="1:10" x14ac:dyDescent="0.2">
      <c r="A137" s="10" t="str">
        <f>"ENSG00000198821.10"</f>
        <v>ENSG00000198821.10</v>
      </c>
      <c r="B137" s="10">
        <v>-2.2733616826057501</v>
      </c>
      <c r="C137" s="10">
        <v>-0.80727383982844103</v>
      </c>
      <c r="D137" s="10">
        <v>16.0725416865357</v>
      </c>
      <c r="E137" s="10">
        <v>3.79038922361592E-3</v>
      </c>
      <c r="F137" s="10" t="str">
        <f>"CD247"</f>
        <v>CD247</v>
      </c>
      <c r="G137" s="10" t="str">
        <f t="shared" ref="G137:G143" si="5">"protein_coding"</f>
        <v>protein_coding</v>
      </c>
      <c r="J137" s="14"/>
    </row>
    <row r="138" spans="1:10" x14ac:dyDescent="0.2">
      <c r="A138" s="10" t="str">
        <f>"ENSG00000143158.11"</f>
        <v>ENSG00000143158.11</v>
      </c>
      <c r="B138" s="10">
        <v>1.0075480210371</v>
      </c>
      <c r="C138" s="10">
        <v>4.2967434275354197</v>
      </c>
      <c r="D138" s="10">
        <v>6.1323956906374599</v>
      </c>
      <c r="E138" s="10">
        <v>3.7979955907502201E-2</v>
      </c>
      <c r="F138" s="10" t="str">
        <f>"MPC2"</f>
        <v>MPC2</v>
      </c>
      <c r="G138" s="10" t="str">
        <f t="shared" si="5"/>
        <v>protein_coding</v>
      </c>
      <c r="J138" s="14"/>
    </row>
    <row r="139" spans="1:10" x14ac:dyDescent="0.2">
      <c r="A139" s="10" t="str">
        <f>"ENSG00000143147.14"</f>
        <v>ENSG00000143147.14</v>
      </c>
      <c r="B139" s="10">
        <v>-1.11643378408286</v>
      </c>
      <c r="C139" s="10">
        <v>2.90154754841434</v>
      </c>
      <c r="D139" s="10">
        <v>9.0656068886569194</v>
      </c>
      <c r="E139" s="10">
        <v>1.6553616026646401E-2</v>
      </c>
      <c r="F139" s="10" t="str">
        <f>"GPR161"</f>
        <v>GPR161</v>
      </c>
      <c r="G139" s="10" t="str">
        <f t="shared" si="5"/>
        <v>protein_coding</v>
      </c>
      <c r="J139" s="14"/>
    </row>
    <row r="140" spans="1:10" x14ac:dyDescent="0.2">
      <c r="A140" s="10" t="str">
        <f>"ENSG00000116132.12"</f>
        <v>ENSG00000116132.12</v>
      </c>
      <c r="B140" s="10">
        <v>-2.13000225868505</v>
      </c>
      <c r="C140" s="10">
        <v>-1.84788365040839</v>
      </c>
      <c r="D140" s="10">
        <v>6.1457234837864698</v>
      </c>
      <c r="E140" s="10">
        <v>3.7820174893883202E-2</v>
      </c>
      <c r="F140" s="10" t="str">
        <f>"PRRX1"</f>
        <v>PRRX1</v>
      </c>
      <c r="G140" s="10" t="str">
        <f t="shared" si="5"/>
        <v>protein_coding</v>
      </c>
      <c r="J140" s="14"/>
    </row>
    <row r="141" spans="1:10" x14ac:dyDescent="0.2">
      <c r="A141" s="10" t="str">
        <f>"ENSG00000180999.11"</f>
        <v>ENSG00000180999.11</v>
      </c>
      <c r="B141" s="10">
        <v>1.75179653548507</v>
      </c>
      <c r="C141" s="10">
        <v>0.47081231106423599</v>
      </c>
      <c r="D141" s="10">
        <v>12.976048337708001</v>
      </c>
      <c r="E141" s="10">
        <v>6.8180578003169201E-3</v>
      </c>
      <c r="F141" s="10" t="str">
        <f>"C1orf105"</f>
        <v>C1orf105</v>
      </c>
      <c r="G141" s="10" t="str">
        <f t="shared" si="5"/>
        <v>protein_coding</v>
      </c>
      <c r="J141" s="14"/>
    </row>
    <row r="142" spans="1:10" x14ac:dyDescent="0.2">
      <c r="A142" s="10" t="str">
        <f>"ENSG00000117601.13"</f>
        <v>ENSG00000117601.13</v>
      </c>
      <c r="B142" s="10">
        <v>1.4010078833369</v>
      </c>
      <c r="C142" s="10">
        <v>5.2258283521129796</v>
      </c>
      <c r="D142" s="10">
        <v>6.8465180136347898</v>
      </c>
      <c r="E142" s="10">
        <v>3.04956372839679E-2</v>
      </c>
      <c r="F142" s="10" t="str">
        <f>"SERPINC1"</f>
        <v>SERPINC1</v>
      </c>
      <c r="G142" s="10" t="str">
        <f t="shared" si="5"/>
        <v>protein_coding</v>
      </c>
      <c r="J142" s="14"/>
    </row>
    <row r="143" spans="1:10" x14ac:dyDescent="0.2">
      <c r="A143" s="10" t="str">
        <f>"ENSG00000152092.16"</f>
        <v>ENSG00000152092.16</v>
      </c>
      <c r="B143" s="10">
        <v>-2.1722605650198101</v>
      </c>
      <c r="C143" s="10">
        <v>-1.59015595375486</v>
      </c>
      <c r="D143" s="10">
        <v>6.4280901257765297</v>
      </c>
      <c r="E143" s="10">
        <v>3.4626602252340703E-2</v>
      </c>
      <c r="F143" s="10" t="str">
        <f>"ASTN1"</f>
        <v>ASTN1</v>
      </c>
      <c r="G143" s="10" t="str">
        <f t="shared" si="5"/>
        <v>protein_coding</v>
      </c>
      <c r="J143" s="14"/>
    </row>
    <row r="144" spans="1:10" x14ac:dyDescent="0.2">
      <c r="A144" s="10" t="str">
        <f>"ENSG00000254154.8"</f>
        <v>ENSG00000254154.8</v>
      </c>
      <c r="B144" s="10">
        <v>1.56566914020143</v>
      </c>
      <c r="C144" s="10">
        <v>-0.55987796898241204</v>
      </c>
      <c r="D144" s="10">
        <v>9.4428143408216503</v>
      </c>
      <c r="E144" s="10">
        <v>1.50553131101968E-2</v>
      </c>
      <c r="F144" s="10" t="str">
        <f>"CRYZL2P-SEC16B"</f>
        <v>CRYZL2P-SEC16B</v>
      </c>
      <c r="G144" s="10" t="str">
        <f>"processed_transcript"</f>
        <v>processed_transcript</v>
      </c>
      <c r="J144" s="14"/>
    </row>
    <row r="145" spans="1:10" x14ac:dyDescent="0.2">
      <c r="A145" s="10" t="str">
        <f>"ENSG00000242193.11"</f>
        <v>ENSG00000242193.11</v>
      </c>
      <c r="B145" s="10">
        <v>2.0934169772533702</v>
      </c>
      <c r="C145" s="10">
        <v>3.4961615554764598</v>
      </c>
      <c r="D145" s="10">
        <v>40.503310479627302</v>
      </c>
      <c r="E145" s="10">
        <v>2.06140471189286E-4</v>
      </c>
      <c r="F145" s="10" t="str">
        <f>"CRYZL2P"</f>
        <v>CRYZL2P</v>
      </c>
      <c r="G145" s="10" t="str">
        <f>"transcribed_unitary_pseudogene"</f>
        <v>transcribed_unitary_pseudogene</v>
      </c>
      <c r="J145" s="14"/>
    </row>
    <row r="146" spans="1:10" x14ac:dyDescent="0.2">
      <c r="A146" s="10" t="str">
        <f>"ENSG00000116191.17"</f>
        <v>ENSG00000116191.17</v>
      </c>
      <c r="B146" s="10">
        <v>1.1529979911633901</v>
      </c>
      <c r="C146" s="10">
        <v>5.0530237884672999</v>
      </c>
      <c r="D146" s="10">
        <v>8.0529298876954005</v>
      </c>
      <c r="E146" s="10">
        <v>2.1616020428693799E-2</v>
      </c>
      <c r="F146" s="10" t="str">
        <f>"RALGPS2"</f>
        <v>RALGPS2</v>
      </c>
      <c r="G146" s="10" t="str">
        <f>"protein_coding"</f>
        <v>protein_coding</v>
      </c>
      <c r="J146" s="14"/>
    </row>
    <row r="147" spans="1:10" x14ac:dyDescent="0.2">
      <c r="A147" s="10" t="str">
        <f>"ENSG00000116194.13"</f>
        <v>ENSG00000116194.13</v>
      </c>
      <c r="B147" s="10">
        <v>4.3547054520722801</v>
      </c>
      <c r="C147" s="10">
        <v>2.3581553965539999</v>
      </c>
      <c r="D147" s="10">
        <v>35.5079958537479</v>
      </c>
      <c r="E147" s="10">
        <v>3.2271464678636198E-4</v>
      </c>
      <c r="F147" s="10" t="str">
        <f>"ANGPTL1"</f>
        <v>ANGPTL1</v>
      </c>
      <c r="G147" s="10" t="str">
        <f>"protein_coding"</f>
        <v>protein_coding</v>
      </c>
      <c r="J147" s="14"/>
    </row>
    <row r="148" spans="1:10" x14ac:dyDescent="0.2">
      <c r="A148" s="10" t="str">
        <f>"ENSG00000135828.11"</f>
        <v>ENSG00000135828.11</v>
      </c>
      <c r="B148" s="10">
        <v>1.62007094968127</v>
      </c>
      <c r="C148" s="10">
        <v>0.32952930140741499</v>
      </c>
      <c r="D148" s="10">
        <v>15.261876720257201</v>
      </c>
      <c r="E148" s="10">
        <v>4.3953072871282597E-3</v>
      </c>
      <c r="F148" s="10" t="str">
        <f>"RNASEL"</f>
        <v>RNASEL</v>
      </c>
      <c r="G148" s="10" t="str">
        <f>"protein_coding"</f>
        <v>protein_coding</v>
      </c>
      <c r="J148" s="14"/>
    </row>
    <row r="149" spans="1:10" x14ac:dyDescent="0.2">
      <c r="A149" s="10" t="str">
        <f>"ENSG00000198756.12"</f>
        <v>ENSG00000198756.12</v>
      </c>
      <c r="B149" s="10">
        <v>2.6920670798166402</v>
      </c>
      <c r="C149" s="10">
        <v>4.5494561692929301</v>
      </c>
      <c r="D149" s="10">
        <v>73.267323924532505</v>
      </c>
      <c r="E149" s="13">
        <v>2.4815023096549801E-5</v>
      </c>
      <c r="F149" s="10" t="str">
        <f>"COLGALT2"</f>
        <v>COLGALT2</v>
      </c>
      <c r="G149" s="10" t="str">
        <f>"protein_coding"</f>
        <v>protein_coding</v>
      </c>
      <c r="J149" s="14"/>
    </row>
    <row r="150" spans="1:10" x14ac:dyDescent="0.2">
      <c r="A150" s="10" t="str">
        <f>"ENSG00000198860.12"</f>
        <v>ENSG00000198860.12</v>
      </c>
      <c r="B150" s="10">
        <v>1.31704949317312</v>
      </c>
      <c r="C150" s="10">
        <v>3.7242490468703702</v>
      </c>
      <c r="D150" s="10">
        <v>12.446899913028799</v>
      </c>
      <c r="E150" s="10">
        <v>7.6029171648078903E-3</v>
      </c>
      <c r="F150" s="10" t="str">
        <f>"TSEN15"</f>
        <v>TSEN15</v>
      </c>
      <c r="G150" s="10" t="str">
        <f>"protein_coding"</f>
        <v>protein_coding</v>
      </c>
      <c r="J150" s="14"/>
    </row>
    <row r="151" spans="1:10" x14ac:dyDescent="0.2">
      <c r="A151" s="10" t="str">
        <f>"ENSG00000274702.1"</f>
        <v>ENSG00000274702.1</v>
      </c>
      <c r="B151" s="10">
        <v>1.9726018857479499</v>
      </c>
      <c r="C151" s="10">
        <v>-1.45552273663841</v>
      </c>
      <c r="D151" s="10">
        <v>6.4785894670288497</v>
      </c>
      <c r="E151" s="10">
        <v>3.4091939095767097E-2</v>
      </c>
      <c r="F151" s="10" t="str">
        <f>"AL357559.1"</f>
        <v>AL357559.1</v>
      </c>
      <c r="G151" s="10" t="str">
        <f>"processed_pseudogene"</f>
        <v>processed_pseudogene</v>
      </c>
      <c r="J151" s="14"/>
    </row>
    <row r="152" spans="1:10" x14ac:dyDescent="0.2">
      <c r="A152" s="10" t="str">
        <f>"ENSG00000285280.1"</f>
        <v>ENSG00000285280.1</v>
      </c>
      <c r="B152" s="10">
        <v>1.4731520233528801</v>
      </c>
      <c r="C152" s="10">
        <v>0.53236645609922695</v>
      </c>
      <c r="D152" s="10">
        <v>6.1837519257782496</v>
      </c>
      <c r="E152" s="10">
        <v>3.7368928887100999E-2</v>
      </c>
      <c r="F152" s="10" t="str">
        <f>"AL390957.1"</f>
        <v>AL390957.1</v>
      </c>
      <c r="G152" s="10" t="str">
        <f>"lincRNA"</f>
        <v>lincRNA</v>
      </c>
      <c r="J152" s="14"/>
    </row>
    <row r="153" spans="1:10" x14ac:dyDescent="0.2">
      <c r="A153" s="10" t="str">
        <f>"ENSG00000116741.8"</f>
        <v>ENSG00000116741.8</v>
      </c>
      <c r="B153" s="10">
        <v>1.62196385860145</v>
      </c>
      <c r="C153" s="10">
        <v>1.9738265764764999</v>
      </c>
      <c r="D153" s="10">
        <v>6.2015727273132502</v>
      </c>
      <c r="E153" s="10">
        <v>3.7159815290384299E-2</v>
      </c>
      <c r="F153" s="10" t="str">
        <f>"RGS2"</f>
        <v>RGS2</v>
      </c>
      <c r="G153" s="10" t="str">
        <f t="shared" ref="G153:G162" si="6">"protein_coding"</f>
        <v>protein_coding</v>
      </c>
      <c r="J153" s="14"/>
    </row>
    <row r="154" spans="1:10" x14ac:dyDescent="0.2">
      <c r="A154" s="10" t="str">
        <f>"ENSG00000116833.14"</f>
        <v>ENSG00000116833.14</v>
      </c>
      <c r="B154" s="10">
        <v>2.7427657768273801</v>
      </c>
      <c r="C154" s="10">
        <v>2.4500880456051299</v>
      </c>
      <c r="D154" s="10">
        <v>50.709646453386299</v>
      </c>
      <c r="E154" s="13">
        <v>9.3999830940682803E-5</v>
      </c>
      <c r="F154" s="10" t="str">
        <f>"NR5A2"</f>
        <v>NR5A2</v>
      </c>
      <c r="G154" s="10" t="str">
        <f t="shared" si="6"/>
        <v>protein_coding</v>
      </c>
      <c r="J154" s="14"/>
    </row>
    <row r="155" spans="1:10" x14ac:dyDescent="0.2">
      <c r="A155" s="10" t="str">
        <f>"ENSG00000174502.19"</f>
        <v>ENSG00000174502.19</v>
      </c>
      <c r="B155" s="10">
        <v>2.77525136687508</v>
      </c>
      <c r="C155" s="10">
        <v>0.15668519451997301</v>
      </c>
      <c r="D155" s="10">
        <v>39.349211116426197</v>
      </c>
      <c r="E155" s="10">
        <v>2.23581052513993E-4</v>
      </c>
      <c r="F155" s="10" t="str">
        <f>"SLC26A9"</f>
        <v>SLC26A9</v>
      </c>
      <c r="G155" s="10" t="str">
        <f t="shared" si="6"/>
        <v>protein_coding</v>
      </c>
      <c r="J155" s="14"/>
    </row>
    <row r="156" spans="1:10" x14ac:dyDescent="0.2">
      <c r="A156" s="10" t="str">
        <f>"ENSG00000182795.13"</f>
        <v>ENSG00000182795.13</v>
      </c>
      <c r="B156" s="10">
        <v>1.1798971721045799</v>
      </c>
      <c r="C156" s="10">
        <v>3.4908187205023999</v>
      </c>
      <c r="D156" s="10">
        <v>8.5353513346631296</v>
      </c>
      <c r="E156" s="10">
        <v>1.8992068289069401E-2</v>
      </c>
      <c r="F156" s="10" t="str">
        <f>"C1orf116"</f>
        <v>C1orf116</v>
      </c>
      <c r="G156" s="10" t="str">
        <f t="shared" si="6"/>
        <v>protein_coding</v>
      </c>
      <c r="J156" s="14"/>
    </row>
    <row r="157" spans="1:10" x14ac:dyDescent="0.2">
      <c r="A157" s="10" t="str">
        <f>"ENSG00000123843.13"</f>
        <v>ENSG00000123843.13</v>
      </c>
      <c r="B157" s="10">
        <v>1.7979441568243899</v>
      </c>
      <c r="C157" s="10">
        <v>5.8660047735233602</v>
      </c>
      <c r="D157" s="10">
        <v>48.238950274100198</v>
      </c>
      <c r="E157" s="10">
        <v>1.12152366314362E-4</v>
      </c>
      <c r="F157" s="10" t="str">
        <f>"C4BPB"</f>
        <v>C4BPB</v>
      </c>
      <c r="G157" s="10" t="str">
        <f t="shared" si="6"/>
        <v>protein_coding</v>
      </c>
      <c r="J157" s="14"/>
    </row>
    <row r="158" spans="1:10" x14ac:dyDescent="0.2">
      <c r="A158" s="10" t="str">
        <f>"ENSG00000123838.11"</f>
        <v>ENSG00000123838.11</v>
      </c>
      <c r="B158" s="10">
        <v>2.1638796833501601</v>
      </c>
      <c r="C158" s="10">
        <v>5.9881565198269602</v>
      </c>
      <c r="D158" s="10">
        <v>24.882330922485799</v>
      </c>
      <c r="E158" s="10">
        <v>1.0298602919921001E-3</v>
      </c>
      <c r="F158" s="10" t="str">
        <f>"C4BPA"</f>
        <v>C4BPA</v>
      </c>
      <c r="G158" s="10" t="str">
        <f t="shared" si="6"/>
        <v>protein_coding</v>
      </c>
      <c r="J158" s="14"/>
    </row>
    <row r="159" spans="1:10" x14ac:dyDescent="0.2">
      <c r="A159" s="10" t="str">
        <f>"ENSG00000196352.15"</f>
        <v>ENSG00000196352.15</v>
      </c>
      <c r="B159" s="10">
        <v>1.3815573806483901</v>
      </c>
      <c r="C159" s="10">
        <v>5.9052972883072998</v>
      </c>
      <c r="D159" s="10">
        <v>11.952696792147099</v>
      </c>
      <c r="E159" s="10">
        <v>8.4408287025563699E-3</v>
      </c>
      <c r="F159" s="10" t="str">
        <f>"CD55"</f>
        <v>CD55</v>
      </c>
      <c r="G159" s="10" t="str">
        <f t="shared" si="6"/>
        <v>protein_coding</v>
      </c>
      <c r="J159" s="14"/>
    </row>
    <row r="160" spans="1:10" x14ac:dyDescent="0.2">
      <c r="A160" s="10" t="str">
        <f>"ENSG00000076356.7"</f>
        <v>ENSG00000076356.7</v>
      </c>
      <c r="B160" s="10">
        <v>1.2022554708897999</v>
      </c>
      <c r="C160" s="10">
        <v>5.2698648398040104</v>
      </c>
      <c r="D160" s="10">
        <v>8.4859408365689699</v>
      </c>
      <c r="E160" s="10">
        <v>1.9241672501126E-2</v>
      </c>
      <c r="F160" s="10" t="str">
        <f>"PLXNA2"</f>
        <v>PLXNA2</v>
      </c>
      <c r="G160" s="10" t="str">
        <f t="shared" si="6"/>
        <v>protein_coding</v>
      </c>
      <c r="J160" s="14"/>
    </row>
    <row r="161" spans="1:10" x14ac:dyDescent="0.2">
      <c r="A161" s="10" t="str">
        <f>"ENSG00000196878.15"</f>
        <v>ENSG00000196878.15</v>
      </c>
      <c r="B161" s="10">
        <v>-2.0280574182340199</v>
      </c>
      <c r="C161" s="10">
        <v>2.0450446689638402</v>
      </c>
      <c r="D161" s="10">
        <v>7.8072088146832703</v>
      </c>
      <c r="E161" s="10">
        <v>2.3128437820179999E-2</v>
      </c>
      <c r="F161" s="10" t="str">
        <f>"LAMB3"</f>
        <v>LAMB3</v>
      </c>
      <c r="G161" s="10" t="str">
        <f t="shared" si="6"/>
        <v>protein_coding</v>
      </c>
      <c r="J161" s="14"/>
    </row>
    <row r="162" spans="1:10" x14ac:dyDescent="0.2">
      <c r="A162" s="10" t="str">
        <f>"ENSG00000054392.13"</f>
        <v>ENSG00000054392.13</v>
      </c>
      <c r="B162" s="10">
        <v>-1.0093668661748301</v>
      </c>
      <c r="C162" s="10">
        <v>5.4147243414931596</v>
      </c>
      <c r="D162" s="10">
        <v>20.073580952415799</v>
      </c>
      <c r="E162" s="10">
        <v>1.99255531172176E-3</v>
      </c>
      <c r="F162" s="10" t="str">
        <f>"HHAT"</f>
        <v>HHAT</v>
      </c>
      <c r="G162" s="10" t="str">
        <f t="shared" si="6"/>
        <v>protein_coding</v>
      </c>
      <c r="J162" s="14"/>
    </row>
    <row r="163" spans="1:10" x14ac:dyDescent="0.2">
      <c r="A163" s="10" t="str">
        <f>"ENSG00000227764.1"</f>
        <v>ENSG00000227764.1</v>
      </c>
      <c r="B163" s="10">
        <v>2.93651076447847</v>
      </c>
      <c r="C163" s="10">
        <v>-0.81016428015445496</v>
      </c>
      <c r="D163" s="10">
        <v>16.770881375594701</v>
      </c>
      <c r="E163" s="10">
        <v>3.3708792613743998E-3</v>
      </c>
      <c r="F163" s="10" t="str">
        <f>"LINC01693"</f>
        <v>LINC01693</v>
      </c>
      <c r="G163" s="10" t="str">
        <f>"lincRNA"</f>
        <v>lincRNA</v>
      </c>
      <c r="J163" s="14"/>
    </row>
    <row r="164" spans="1:10" x14ac:dyDescent="0.2">
      <c r="A164" s="10" t="str">
        <f>"ENSG00000117691.10"</f>
        <v>ENSG00000117691.10</v>
      </c>
      <c r="B164" s="10">
        <v>-1.1520687727344201</v>
      </c>
      <c r="C164" s="10">
        <v>4.2018286518552603</v>
      </c>
      <c r="D164" s="10">
        <v>8.7068023309499392</v>
      </c>
      <c r="E164" s="10">
        <v>1.8156957072956E-2</v>
      </c>
      <c r="F164" s="10" t="str">
        <f>"NENF"</f>
        <v>NENF</v>
      </c>
      <c r="G164" s="10" t="str">
        <f>"protein_coding"</f>
        <v>protein_coding</v>
      </c>
      <c r="J164" s="14"/>
    </row>
    <row r="165" spans="1:10" x14ac:dyDescent="0.2">
      <c r="A165" s="10" t="str">
        <f>"ENSG00000143494.15"</f>
        <v>ENSG00000143494.15</v>
      </c>
      <c r="B165" s="10">
        <v>1.2085958174862701</v>
      </c>
      <c r="C165" s="10">
        <v>1.2913374011621701</v>
      </c>
      <c r="D165" s="10">
        <v>12.7678541509894</v>
      </c>
      <c r="E165" s="10">
        <v>7.0779470266718204E-3</v>
      </c>
      <c r="F165" s="10" t="str">
        <f>"VASH2"</f>
        <v>VASH2</v>
      </c>
      <c r="G165" s="10" t="str">
        <f>"protein_coding"</f>
        <v>protein_coding</v>
      </c>
      <c r="J165" s="14"/>
    </row>
    <row r="166" spans="1:10" x14ac:dyDescent="0.2">
      <c r="A166" s="10" t="str">
        <f>"ENSG00000143353.12"</f>
        <v>ENSG00000143353.12</v>
      </c>
      <c r="B166" s="10">
        <v>1.0521557796816201</v>
      </c>
      <c r="C166" s="10">
        <v>4.3087000564222002</v>
      </c>
      <c r="D166" s="10">
        <v>14.0313003335866</v>
      </c>
      <c r="E166" s="10">
        <v>5.5336450484919598E-3</v>
      </c>
      <c r="F166" s="10" t="str">
        <f>"LYPLAL1"</f>
        <v>LYPLAL1</v>
      </c>
      <c r="G166" s="10" t="str">
        <f>"protein_coding"</f>
        <v>protein_coding</v>
      </c>
      <c r="J166" s="14"/>
    </row>
    <row r="167" spans="1:10" x14ac:dyDescent="0.2">
      <c r="A167" s="10" t="str">
        <f>"ENSG00000277007.1"</f>
        <v>ENSG00000277007.1</v>
      </c>
      <c r="B167" s="10">
        <v>1.1794775169324501</v>
      </c>
      <c r="C167" s="10">
        <v>-0.21019942317253301</v>
      </c>
      <c r="D167" s="10">
        <v>6.1312766748289196</v>
      </c>
      <c r="E167" s="10">
        <v>3.79934101991386E-2</v>
      </c>
      <c r="F167" s="10" t="str">
        <f>"AC096642.1"</f>
        <v>AC096642.1</v>
      </c>
      <c r="G167" s="10" t="str">
        <f>"lincRNA"</f>
        <v>lincRNA</v>
      </c>
      <c r="J167" s="14"/>
    </row>
    <row r="168" spans="1:10" x14ac:dyDescent="0.2">
      <c r="A168" s="10" t="str">
        <f>"ENSG00000228536.2"</f>
        <v>ENSG00000228536.2</v>
      </c>
      <c r="B168" s="10">
        <v>3.3305747756290098</v>
      </c>
      <c r="C168" s="10">
        <v>-1.6395067504340499</v>
      </c>
      <c r="D168" s="10">
        <v>17.8256909677044</v>
      </c>
      <c r="E168" s="10">
        <v>2.72310578399278E-3</v>
      </c>
      <c r="F168" s="10" t="str">
        <f>"LYPLAL1-AS1"</f>
        <v>LYPLAL1-AS1</v>
      </c>
      <c r="G168" s="10" t="str">
        <f>"lincRNA"</f>
        <v>lincRNA</v>
      </c>
      <c r="J168" s="14"/>
    </row>
    <row r="169" spans="1:10" x14ac:dyDescent="0.2">
      <c r="A169" s="10" t="str">
        <f>"ENSG00000282418.1"</f>
        <v>ENSG00000282418.1</v>
      </c>
      <c r="B169" s="10">
        <v>-2.43994481479919</v>
      </c>
      <c r="C169" s="10">
        <v>0.135711222907205</v>
      </c>
      <c r="D169" s="10">
        <v>16.999831105564201</v>
      </c>
      <c r="E169" s="10">
        <v>3.24271477405298E-3</v>
      </c>
      <c r="F169" s="10" t="str">
        <f>"AC092811.2"</f>
        <v>AC092811.2</v>
      </c>
      <c r="G169" s="10" t="str">
        <f>"lincRNA"</f>
        <v>lincRNA</v>
      </c>
      <c r="J169" s="14"/>
    </row>
    <row r="170" spans="1:10" x14ac:dyDescent="0.2">
      <c r="A170" s="10" t="str">
        <f>"ENSG00000143768.13"</f>
        <v>ENSG00000143768.13</v>
      </c>
      <c r="B170" s="10">
        <v>-1.6047894970910499</v>
      </c>
      <c r="C170" s="10">
        <v>-0.68346294205097202</v>
      </c>
      <c r="D170" s="10">
        <v>11.336458928633601</v>
      </c>
      <c r="E170" s="10">
        <v>9.4215131006071193E-3</v>
      </c>
      <c r="F170" s="10" t="str">
        <f>"LEFTY2"</f>
        <v>LEFTY2</v>
      </c>
      <c r="G170" s="10" t="str">
        <f t="shared" ref="G170:G179" si="7">"protein_coding"</f>
        <v>protein_coding</v>
      </c>
      <c r="J170" s="14"/>
    </row>
    <row r="171" spans="1:10" x14ac:dyDescent="0.2">
      <c r="A171" s="10" t="str">
        <f>"ENSG00000185155.11"</f>
        <v>ENSG00000185155.11</v>
      </c>
      <c r="B171" s="10">
        <v>2.42621600357967</v>
      </c>
      <c r="C171" s="10">
        <v>4.3615558766869897</v>
      </c>
      <c r="D171" s="10">
        <v>31.358958499714099</v>
      </c>
      <c r="E171" s="10">
        <v>4.8836569245979495E-4</v>
      </c>
      <c r="F171" s="10" t="str">
        <f>"MIXL1"</f>
        <v>MIXL1</v>
      </c>
      <c r="G171" s="10" t="str">
        <f t="shared" si="7"/>
        <v>protein_coding</v>
      </c>
      <c r="J171" s="14"/>
    </row>
    <row r="172" spans="1:10" x14ac:dyDescent="0.2">
      <c r="A172" s="10" t="str">
        <f>"ENSG00000143816.8"</f>
        <v>ENSG00000143816.8</v>
      </c>
      <c r="B172" s="10">
        <v>-1.8540546209208599</v>
      </c>
      <c r="C172" s="10">
        <v>2.9986865189373599</v>
      </c>
      <c r="D172" s="10">
        <v>6.3561976523544104</v>
      </c>
      <c r="E172" s="10">
        <v>3.5406221154605698E-2</v>
      </c>
      <c r="F172" s="10" t="str">
        <f>"WNT9A"</f>
        <v>WNT9A</v>
      </c>
      <c r="G172" s="10" t="str">
        <f t="shared" si="7"/>
        <v>protein_coding</v>
      </c>
      <c r="J172" s="14"/>
    </row>
    <row r="173" spans="1:10" x14ac:dyDescent="0.2">
      <c r="A173" s="10" t="str">
        <f>"ENSG00000154342.6"</f>
        <v>ENSG00000154342.6</v>
      </c>
      <c r="B173" s="10">
        <v>-3.6767332253000302</v>
      </c>
      <c r="C173" s="10">
        <v>-1.80337726986235</v>
      </c>
      <c r="D173" s="10">
        <v>13.8819197433236</v>
      </c>
      <c r="E173" s="10">
        <v>5.69583372675683E-3</v>
      </c>
      <c r="F173" s="10" t="str">
        <f>"WNT3A"</f>
        <v>WNT3A</v>
      </c>
      <c r="G173" s="10" t="str">
        <f t="shared" si="7"/>
        <v>protein_coding</v>
      </c>
      <c r="J173" s="14"/>
    </row>
    <row r="174" spans="1:10" x14ac:dyDescent="0.2">
      <c r="A174" s="10" t="str">
        <f>"ENSG00000143632.14"</f>
        <v>ENSG00000143632.14</v>
      </c>
      <c r="B174" s="10">
        <v>-2.3948243588453799</v>
      </c>
      <c r="C174" s="10">
        <v>1.3007113593190001</v>
      </c>
      <c r="D174" s="10">
        <v>21.477800785410299</v>
      </c>
      <c r="E174" s="10">
        <v>1.62454175777332E-3</v>
      </c>
      <c r="F174" s="10" t="str">
        <f>"ACTA1"</f>
        <v>ACTA1</v>
      </c>
      <c r="G174" s="10" t="str">
        <f t="shared" si="7"/>
        <v>protein_coding</v>
      </c>
      <c r="J174" s="14"/>
    </row>
    <row r="175" spans="1:10" x14ac:dyDescent="0.2">
      <c r="A175" s="10" t="str">
        <f>"ENSG00000177614.11"</f>
        <v>ENSG00000177614.11</v>
      </c>
      <c r="B175" s="10">
        <v>-1.9890400347422199</v>
      </c>
      <c r="C175" s="10">
        <v>0.54989504865234695</v>
      </c>
      <c r="D175" s="10">
        <v>8.107260087497</v>
      </c>
      <c r="E175" s="10">
        <v>2.1298594956468402E-2</v>
      </c>
      <c r="F175" s="10" t="str">
        <f>"PGBD5"</f>
        <v>PGBD5</v>
      </c>
      <c r="G175" s="10" t="str">
        <f t="shared" si="7"/>
        <v>protein_coding</v>
      </c>
      <c r="J175" s="14"/>
    </row>
    <row r="176" spans="1:10" x14ac:dyDescent="0.2">
      <c r="A176" s="10" t="str">
        <f>"ENSG00000135773.13"</f>
        <v>ENSG00000135773.13</v>
      </c>
      <c r="B176" s="10">
        <v>-2.07865385779811</v>
      </c>
      <c r="C176" s="10">
        <v>1.5501174224194201</v>
      </c>
      <c r="D176" s="10">
        <v>29.053298667414001</v>
      </c>
      <c r="E176" s="10">
        <v>6.2711693502204898E-4</v>
      </c>
      <c r="F176" s="10" t="str">
        <f>"CAPN9"</f>
        <v>CAPN9</v>
      </c>
      <c r="G176" s="10" t="str">
        <f t="shared" si="7"/>
        <v>protein_coding</v>
      </c>
      <c r="J176" s="14"/>
    </row>
    <row r="177" spans="1:10" x14ac:dyDescent="0.2">
      <c r="A177" s="10" t="str">
        <f>"ENSG00000182118.8"</f>
        <v>ENSG00000182118.8</v>
      </c>
      <c r="B177" s="10">
        <v>-1.0677270915485499</v>
      </c>
      <c r="C177" s="10">
        <v>2.9741509110258701</v>
      </c>
      <c r="D177" s="10">
        <v>25.214655554728601</v>
      </c>
      <c r="E177" s="10">
        <v>9.3869314562917896E-4</v>
      </c>
      <c r="F177" s="10" t="str">
        <f>"FAM89A"</f>
        <v>FAM89A</v>
      </c>
      <c r="G177" s="10" t="str">
        <f t="shared" si="7"/>
        <v>protein_coding</v>
      </c>
      <c r="J177" s="14"/>
    </row>
    <row r="178" spans="1:10" x14ac:dyDescent="0.2">
      <c r="A178" s="10" t="str">
        <f>"ENSG00000119283.15"</f>
        <v>ENSG00000119283.15</v>
      </c>
      <c r="B178" s="10">
        <v>-2.00753210781102</v>
      </c>
      <c r="C178" s="10">
        <v>0.78529877904342904</v>
      </c>
      <c r="D178" s="10">
        <v>12.012758318803099</v>
      </c>
      <c r="E178" s="10">
        <v>8.3330179516235992E-3</v>
      </c>
      <c r="F178" s="10" t="str">
        <f>"TRIM67"</f>
        <v>TRIM67</v>
      </c>
      <c r="G178" s="10" t="str">
        <f t="shared" si="7"/>
        <v>protein_coding</v>
      </c>
      <c r="J178" s="14"/>
    </row>
    <row r="179" spans="1:10" x14ac:dyDescent="0.2">
      <c r="A179" s="10" t="str">
        <f>"ENSG00000135749.19"</f>
        <v>ENSG00000135749.19</v>
      </c>
      <c r="B179" s="10">
        <v>-1.2584612280598599</v>
      </c>
      <c r="C179" s="10">
        <v>0.46264119587114999</v>
      </c>
      <c r="D179" s="10">
        <v>12.773565545215799</v>
      </c>
      <c r="E179" s="10">
        <v>6.9123872568739603E-3</v>
      </c>
      <c r="F179" s="10" t="str">
        <f>"PCNX2"</f>
        <v>PCNX2</v>
      </c>
      <c r="G179" s="10" t="str">
        <f t="shared" si="7"/>
        <v>protein_coding</v>
      </c>
      <c r="J179" s="14"/>
    </row>
    <row r="180" spans="1:10" x14ac:dyDescent="0.2">
      <c r="A180" s="10" t="str">
        <f>"ENSG00000279261.2"</f>
        <v>ENSG00000279261.2</v>
      </c>
      <c r="B180" s="10">
        <v>1.2546506729173701</v>
      </c>
      <c r="C180" s="10">
        <v>-0.26709946972697401</v>
      </c>
      <c r="D180" s="10">
        <v>8.5311355782621003</v>
      </c>
      <c r="E180" s="10">
        <v>1.8799446970134699E-2</v>
      </c>
      <c r="F180" s="10" t="str">
        <f>"AL360294.1"</f>
        <v>AL360294.1</v>
      </c>
      <c r="G180" s="10" t="str">
        <f>"lincRNA"</f>
        <v>lincRNA</v>
      </c>
      <c r="J180" s="14"/>
    </row>
    <row r="181" spans="1:10" x14ac:dyDescent="0.2">
      <c r="A181" s="10" t="str">
        <f>"ENSG00000077585.14"</f>
        <v>ENSG00000077585.14</v>
      </c>
      <c r="B181" s="10">
        <v>1.6991078123497201</v>
      </c>
      <c r="C181" s="10">
        <v>1.6226180107354899</v>
      </c>
      <c r="D181" s="10">
        <v>15.617574552289</v>
      </c>
      <c r="E181" s="10">
        <v>4.1221577684251104E-3</v>
      </c>
      <c r="F181" s="10" t="str">
        <f>"GPR137B"</f>
        <v>GPR137B</v>
      </c>
      <c r="G181" s="10" t="str">
        <f>"protein_coding"</f>
        <v>protein_coding</v>
      </c>
      <c r="J181" s="14"/>
    </row>
    <row r="182" spans="1:10" x14ac:dyDescent="0.2">
      <c r="A182" s="10" t="str">
        <f>"ENSG00000116977.18"</f>
        <v>ENSG00000116977.18</v>
      </c>
      <c r="B182" s="10">
        <v>1.4689493476694599</v>
      </c>
      <c r="C182" s="10">
        <v>6.5082409440747302</v>
      </c>
      <c r="D182" s="10">
        <v>20.052025046946198</v>
      </c>
      <c r="E182" s="10">
        <v>1.99897565637755E-3</v>
      </c>
      <c r="F182" s="10" t="str">
        <f>"LGALS8"</f>
        <v>LGALS8</v>
      </c>
      <c r="G182" s="10" t="str">
        <f>"protein_coding"</f>
        <v>protein_coding</v>
      </c>
      <c r="J182" s="14"/>
    </row>
    <row r="183" spans="1:10" x14ac:dyDescent="0.2">
      <c r="A183" s="10" t="str">
        <f>"ENSG00000223776.5"</f>
        <v>ENSG00000223776.5</v>
      </c>
      <c r="B183" s="10">
        <v>1.0856743414082899</v>
      </c>
      <c r="C183" s="10">
        <v>1.8662158797124</v>
      </c>
      <c r="D183" s="10">
        <v>13.330748001930401</v>
      </c>
      <c r="E183" s="10">
        <v>6.2238537308223702E-3</v>
      </c>
      <c r="F183" s="10" t="str">
        <f>"LGALS8-AS1"</f>
        <v>LGALS8-AS1</v>
      </c>
      <c r="G183" s="10" t="str">
        <f>"antisense"</f>
        <v>antisense</v>
      </c>
      <c r="J183" s="14"/>
    </row>
    <row r="184" spans="1:10" x14ac:dyDescent="0.2">
      <c r="A184" s="10" t="str">
        <f>"ENSG00000230325.1"</f>
        <v>ENSG00000230325.1</v>
      </c>
      <c r="B184" s="10">
        <v>2.1042001011226299</v>
      </c>
      <c r="C184" s="10">
        <v>4.6876769084594802E-2</v>
      </c>
      <c r="D184" s="10">
        <v>9.2876057621336603</v>
      </c>
      <c r="E184" s="10">
        <v>1.5650273849523201E-2</v>
      </c>
      <c r="F184" s="10" t="str">
        <f>"AL359921.1"</f>
        <v>AL359921.1</v>
      </c>
      <c r="G184" s="10" t="str">
        <f>"antisense"</f>
        <v>antisense</v>
      </c>
      <c r="J184" s="14"/>
    </row>
    <row r="185" spans="1:10" x14ac:dyDescent="0.2">
      <c r="A185" s="10" t="str">
        <f>"ENSG00000117020.17"</f>
        <v>ENSG00000117020.17</v>
      </c>
      <c r="B185" s="10">
        <v>-1.4944198902482599</v>
      </c>
      <c r="C185" s="10">
        <v>-0.243948044997535</v>
      </c>
      <c r="D185" s="10">
        <v>12.1889709809822</v>
      </c>
      <c r="E185" s="10">
        <v>7.8605854705400494E-3</v>
      </c>
      <c r="F185" s="10" t="str">
        <f>"AKT3"</f>
        <v>AKT3</v>
      </c>
      <c r="G185" s="10" t="str">
        <f>"protein_coding"</f>
        <v>protein_coding</v>
      </c>
      <c r="J185" s="14"/>
    </row>
    <row r="186" spans="1:10" x14ac:dyDescent="0.2">
      <c r="A186" s="10" t="str">
        <f>"ENSG00000135747.11"</f>
        <v>ENSG00000135747.11</v>
      </c>
      <c r="B186" s="10">
        <v>-2.87678840712783</v>
      </c>
      <c r="C186" s="10">
        <v>-1.75341401776378</v>
      </c>
      <c r="D186" s="10">
        <v>10.0360315486438</v>
      </c>
      <c r="E186" s="10">
        <v>1.30273560286925E-2</v>
      </c>
      <c r="F186" s="10" t="str">
        <f>"ZNF670-ZNF695"</f>
        <v>ZNF670-ZNF695</v>
      </c>
      <c r="G186" s="10" t="str">
        <f>"protein_coding"</f>
        <v>protein_coding</v>
      </c>
      <c r="J186" s="14"/>
    </row>
    <row r="187" spans="1:10" x14ac:dyDescent="0.2">
      <c r="A187" s="10" t="str">
        <f>"ENSG00000215795.2"</f>
        <v>ENSG00000215795.2</v>
      </c>
      <c r="B187" s="10">
        <v>-3.6187168616052401</v>
      </c>
      <c r="C187" s="10">
        <v>-1.8421678476613399</v>
      </c>
      <c r="D187" s="10">
        <v>13.045233501698</v>
      </c>
      <c r="E187" s="10">
        <v>6.7230904578647801E-3</v>
      </c>
      <c r="F187" s="10" t="str">
        <f>"AL390728.2"</f>
        <v>AL390728.2</v>
      </c>
      <c r="G187" s="10" t="str">
        <f>"processed_pseudogene"</f>
        <v>processed_pseudogene</v>
      </c>
      <c r="J187" s="14"/>
    </row>
    <row r="188" spans="1:10" x14ac:dyDescent="0.2">
      <c r="A188" s="10" t="str">
        <f>"ENSG00000189292.16"</f>
        <v>ENSG00000189292.16</v>
      </c>
      <c r="B188" s="10">
        <v>1.22284858228747</v>
      </c>
      <c r="C188" s="10">
        <v>1.17326082175166</v>
      </c>
      <c r="D188" s="10">
        <v>16.794227608570601</v>
      </c>
      <c r="E188" s="10">
        <v>3.23924782984801E-3</v>
      </c>
      <c r="F188" s="10" t="str">
        <f>"ALKAL2"</f>
        <v>ALKAL2</v>
      </c>
      <c r="G188" s="10" t="str">
        <f>"protein_coding"</f>
        <v>protein_coding</v>
      </c>
      <c r="J188" s="14"/>
    </row>
    <row r="189" spans="1:10" x14ac:dyDescent="0.2">
      <c r="A189" s="10" t="str">
        <f>"ENSG00000236760.1"</f>
        <v>ENSG00000236760.1</v>
      </c>
      <c r="B189" s="10">
        <v>1.87699341242058</v>
      </c>
      <c r="C189" s="10">
        <v>-1.87046408084744</v>
      </c>
      <c r="D189" s="10">
        <v>6.0538206334370299</v>
      </c>
      <c r="E189" s="10">
        <v>3.84674258620884E-2</v>
      </c>
      <c r="F189" s="10" t="str">
        <f>"AC019118.2"</f>
        <v>AC019118.2</v>
      </c>
      <c r="G189" s="10" t="str">
        <f>"lincRNA"</f>
        <v>lincRNA</v>
      </c>
      <c r="J189" s="14"/>
    </row>
    <row r="190" spans="1:10" x14ac:dyDescent="0.2">
      <c r="A190" s="10" t="str">
        <f>"ENSG00000223884.6"</f>
        <v>ENSG00000223884.6</v>
      </c>
      <c r="B190" s="10">
        <v>-1.6251995191158299</v>
      </c>
      <c r="C190" s="10">
        <v>-1.6697688154699299</v>
      </c>
      <c r="D190" s="10">
        <v>6.4005726381348804</v>
      </c>
      <c r="E190" s="10">
        <v>3.4470574605848001E-2</v>
      </c>
      <c r="F190" s="10" t="str">
        <f>"AC068481.1"</f>
        <v>AC068481.1</v>
      </c>
      <c r="G190" s="10" t="str">
        <f>"antisense"</f>
        <v>antisense</v>
      </c>
      <c r="J190" s="14"/>
    </row>
    <row r="191" spans="1:10" x14ac:dyDescent="0.2">
      <c r="A191" s="10" t="str">
        <f>"ENSG00000143797.12"</f>
        <v>ENSG00000143797.12</v>
      </c>
      <c r="B191" s="10">
        <v>-1.6690861094429801</v>
      </c>
      <c r="C191" s="10">
        <v>0.52262490206231005</v>
      </c>
      <c r="D191" s="10">
        <v>10.871687565848999</v>
      </c>
      <c r="E191" s="10">
        <v>1.0717959733752299E-2</v>
      </c>
      <c r="F191" s="10" t="str">
        <f>"MBOAT2"</f>
        <v>MBOAT2</v>
      </c>
      <c r="G191" s="10" t="str">
        <f>"protein_coding"</f>
        <v>protein_coding</v>
      </c>
      <c r="J191" s="14"/>
    </row>
    <row r="192" spans="1:10" x14ac:dyDescent="0.2">
      <c r="A192" s="10" t="str">
        <f>"ENSG00000151693.11"</f>
        <v>ENSG00000151693.11</v>
      </c>
      <c r="B192" s="10">
        <v>1.01609881908077</v>
      </c>
      <c r="C192" s="10">
        <v>5.4432397853897596</v>
      </c>
      <c r="D192" s="10">
        <v>21.2861798584604</v>
      </c>
      <c r="E192" s="10">
        <v>1.66943470805991E-3</v>
      </c>
      <c r="F192" s="10" t="str">
        <f>"ASAP2"</f>
        <v>ASAP2</v>
      </c>
      <c r="G192" s="10" t="str">
        <f>"protein_coding"</f>
        <v>protein_coding</v>
      </c>
      <c r="J192" s="14"/>
    </row>
    <row r="193" spans="1:10" x14ac:dyDescent="0.2">
      <c r="A193" s="10" t="str">
        <f>"ENSG00000272275.1"</f>
        <v>ENSG00000272275.1</v>
      </c>
      <c r="B193" s="10">
        <v>-2.2130931822980902</v>
      </c>
      <c r="C193" s="10">
        <v>-1.33955200411328</v>
      </c>
      <c r="D193" s="10">
        <v>13.4627571944817</v>
      </c>
      <c r="E193" s="10">
        <v>6.0066416077311198E-3</v>
      </c>
      <c r="F193" s="10" t="str">
        <f>"AC092687.3"</f>
        <v>AC092687.3</v>
      </c>
      <c r="G193" s="10" t="str">
        <f>"lincRNA"</f>
        <v>lincRNA</v>
      </c>
      <c r="J193" s="14"/>
    </row>
    <row r="194" spans="1:10" x14ac:dyDescent="0.2">
      <c r="A194" s="10" t="str">
        <f>"ENSG00000134323.12"</f>
        <v>ENSG00000134323.12</v>
      </c>
      <c r="B194" s="10">
        <v>2.4356176507081502</v>
      </c>
      <c r="C194" s="10">
        <v>-0.102524152279711</v>
      </c>
      <c r="D194" s="10">
        <v>36.031910981261099</v>
      </c>
      <c r="E194" s="10">
        <v>2.8738743422433997E-4</v>
      </c>
      <c r="F194" s="10" t="str">
        <f>"MYCN"</f>
        <v>MYCN</v>
      </c>
      <c r="G194" s="10" t="str">
        <f>"protein_coding"</f>
        <v>protein_coding</v>
      </c>
      <c r="J194" s="14"/>
    </row>
    <row r="195" spans="1:10" x14ac:dyDescent="0.2">
      <c r="A195" s="10" t="str">
        <f>"ENSG00000163032.11"</f>
        <v>ENSG00000163032.11</v>
      </c>
      <c r="B195" s="10">
        <v>1.4041371088690999</v>
      </c>
      <c r="C195" s="10">
        <v>5.7674585133773899</v>
      </c>
      <c r="D195" s="10">
        <v>9.2943662580090294</v>
      </c>
      <c r="E195" s="10">
        <v>1.5623749633185999E-2</v>
      </c>
      <c r="F195" s="10" t="str">
        <f>"VSNL1"</f>
        <v>VSNL1</v>
      </c>
      <c r="G195" s="10" t="str">
        <f>"protein_coding"</f>
        <v>protein_coding</v>
      </c>
      <c r="J195" s="14"/>
    </row>
    <row r="196" spans="1:10" x14ac:dyDescent="0.2">
      <c r="A196" s="10" t="str">
        <f>"ENSG00000227210.1"</f>
        <v>ENSG00000227210.1</v>
      </c>
      <c r="B196" s="10">
        <v>1.5637690654840599</v>
      </c>
      <c r="C196" s="10">
        <v>1.82957146395422</v>
      </c>
      <c r="D196" s="10">
        <v>15.7051471330618</v>
      </c>
      <c r="E196" s="10">
        <v>4.0581926341860799E-3</v>
      </c>
      <c r="F196" s="10" t="str">
        <f>"AC079145.1"</f>
        <v>AC079145.1</v>
      </c>
      <c r="G196" s="10" t="str">
        <f>"antisense"</f>
        <v>antisense</v>
      </c>
      <c r="J196" s="14"/>
    </row>
    <row r="197" spans="1:10" x14ac:dyDescent="0.2">
      <c r="A197" s="10" t="str">
        <f>"ENSG00000132031.13"</f>
        <v>ENSG00000132031.13</v>
      </c>
      <c r="B197" s="10">
        <v>1.8767483684897599</v>
      </c>
      <c r="C197" s="10">
        <v>7.9381140027477404</v>
      </c>
      <c r="D197" s="10">
        <v>30.7385601082119</v>
      </c>
      <c r="E197" s="10">
        <v>5.2156865853119705E-4</v>
      </c>
      <c r="F197" s="10" t="str">
        <f>"MATN3"</f>
        <v>MATN3</v>
      </c>
      <c r="G197" s="10" t="str">
        <f>"protein_coding"</f>
        <v>protein_coding</v>
      </c>
      <c r="J197" s="14"/>
    </row>
    <row r="198" spans="1:10" x14ac:dyDescent="0.2">
      <c r="A198" s="10" t="str">
        <f>"ENSG00000234378.1"</f>
        <v>ENSG00000234378.1</v>
      </c>
      <c r="B198" s="10">
        <v>2.8795614580689999</v>
      </c>
      <c r="C198" s="10">
        <v>-1.9104778684983901</v>
      </c>
      <c r="D198" s="10">
        <v>6.8994235514217799</v>
      </c>
      <c r="E198" s="10">
        <v>3.00187163537039E-2</v>
      </c>
      <c r="F198" s="10" t="str">
        <f>"AC098828.3"</f>
        <v>AC098828.3</v>
      </c>
      <c r="G198" s="10" t="str">
        <f>"lincRNA"</f>
        <v>lincRNA</v>
      </c>
      <c r="J198" s="14"/>
    </row>
    <row r="199" spans="1:10" x14ac:dyDescent="0.2">
      <c r="A199" s="10" t="str">
        <f>"ENSG00000261012.2"</f>
        <v>ENSG00000261012.2</v>
      </c>
      <c r="B199" s="10">
        <v>1.8424618239023201</v>
      </c>
      <c r="C199" s="10">
        <v>1.7574477543772</v>
      </c>
      <c r="D199" s="10">
        <v>21.2461325923306</v>
      </c>
      <c r="E199" s="10">
        <v>1.67901198987357E-3</v>
      </c>
      <c r="F199" s="10" t="str">
        <f>"AC115619.1"</f>
        <v>AC115619.1</v>
      </c>
      <c r="G199" s="10" t="str">
        <f>"lincRNA"</f>
        <v>lincRNA</v>
      </c>
      <c r="J199" s="14"/>
    </row>
    <row r="200" spans="1:10" x14ac:dyDescent="0.2">
      <c r="A200" s="10" t="str">
        <f>"ENSG00000119771.15"</f>
        <v>ENSG00000119771.15</v>
      </c>
      <c r="B200" s="10">
        <v>-2.5311061686294698</v>
      </c>
      <c r="C200" s="10">
        <v>2.15715920716376</v>
      </c>
      <c r="D200" s="10">
        <v>20.480518172183899</v>
      </c>
      <c r="E200" s="10">
        <v>1.8760459643379899E-3</v>
      </c>
      <c r="F200" s="10" t="str">
        <f>"KLHL29"</f>
        <v>KLHL29</v>
      </c>
      <c r="G200" s="10" t="str">
        <f>"protein_coding"</f>
        <v>protein_coding</v>
      </c>
      <c r="J200" s="14"/>
    </row>
    <row r="201" spans="1:10" x14ac:dyDescent="0.2">
      <c r="A201" s="10" t="str">
        <f>"ENSG00000084710.14"</f>
        <v>ENSG00000084710.14</v>
      </c>
      <c r="B201" s="10">
        <v>-1.47804218364914</v>
      </c>
      <c r="C201" s="10">
        <v>2.4170460926946</v>
      </c>
      <c r="D201" s="10">
        <v>11.710862153081401</v>
      </c>
      <c r="E201" s="10">
        <v>8.8930309572674993E-3</v>
      </c>
      <c r="F201" s="10" t="str">
        <f>"EFR3B"</f>
        <v>EFR3B</v>
      </c>
      <c r="G201" s="10" t="str">
        <f>"protein_coding"</f>
        <v>protein_coding</v>
      </c>
      <c r="J201" s="14"/>
    </row>
    <row r="202" spans="1:10" x14ac:dyDescent="0.2">
      <c r="A202" s="10" t="str">
        <f>"ENSG00000115138.11"</f>
        <v>ENSG00000115138.11</v>
      </c>
      <c r="B202" s="10">
        <v>-2.6434703400967599</v>
      </c>
      <c r="C202" s="10">
        <v>-1.8994382633518501</v>
      </c>
      <c r="D202" s="10">
        <v>6.39047772166135</v>
      </c>
      <c r="E202" s="10">
        <v>3.5031737603802598E-2</v>
      </c>
      <c r="F202" s="10" t="str">
        <f>"POMC"</f>
        <v>POMC</v>
      </c>
      <c r="G202" s="10" t="str">
        <f>"protein_coding"</f>
        <v>protein_coding</v>
      </c>
      <c r="J202" s="14"/>
    </row>
    <row r="203" spans="1:10" x14ac:dyDescent="0.2">
      <c r="A203" s="10" t="str">
        <f>"ENSG00000157851.17"</f>
        <v>ENSG00000157851.17</v>
      </c>
      <c r="B203" s="10">
        <v>-2.5471561930353102</v>
      </c>
      <c r="C203" s="10">
        <v>2.0272788178972001</v>
      </c>
      <c r="D203" s="10">
        <v>14.3975458985164</v>
      </c>
      <c r="E203" s="10">
        <v>5.1597926419592799E-3</v>
      </c>
      <c r="F203" s="10" t="str">
        <f>"DPYSL5"</f>
        <v>DPYSL5</v>
      </c>
      <c r="G203" s="10" t="str">
        <f>"protein_coding"</f>
        <v>protein_coding</v>
      </c>
      <c r="J203" s="14"/>
    </row>
    <row r="204" spans="1:10" x14ac:dyDescent="0.2">
      <c r="A204" s="10" t="str">
        <f>"ENSG00000229122.1"</f>
        <v>ENSG00000229122.1</v>
      </c>
      <c r="B204" s="10">
        <v>-1.5992330264382399</v>
      </c>
      <c r="C204" s="10">
        <v>-0.36993859127473699</v>
      </c>
      <c r="D204" s="10">
        <v>13.572035768308901</v>
      </c>
      <c r="E204" s="10">
        <v>5.8769573853617897E-3</v>
      </c>
      <c r="F204" s="10" t="str">
        <f>"AGBL5-IT1"</f>
        <v>AGBL5-IT1</v>
      </c>
      <c r="G204" s="10" t="str">
        <f>"sense_intronic"</f>
        <v>sense_intronic</v>
      </c>
      <c r="J204" s="14"/>
    </row>
    <row r="205" spans="1:10" x14ac:dyDescent="0.2">
      <c r="A205" s="10" t="str">
        <f>"ENSG00000138002.15"</f>
        <v>ENSG00000138002.15</v>
      </c>
      <c r="B205" s="10">
        <v>1.23125124645872</v>
      </c>
      <c r="C205" s="10">
        <v>2.5210394623730199</v>
      </c>
      <c r="D205" s="10">
        <v>17.1505272043768</v>
      </c>
      <c r="E205" s="10">
        <v>3.161671398973E-3</v>
      </c>
      <c r="F205" s="10" t="str">
        <f>"IFT172"</f>
        <v>IFT172</v>
      </c>
      <c r="G205" s="10" t="str">
        <f t="shared" ref="G205:G214" si="8">"protein_coding"</f>
        <v>protein_coding</v>
      </c>
      <c r="J205" s="14"/>
    </row>
    <row r="206" spans="1:10" x14ac:dyDescent="0.2">
      <c r="A206" s="10" t="str">
        <f>"ENSG00000084734.9"</f>
        <v>ENSG00000084734.9</v>
      </c>
      <c r="B206" s="10">
        <v>2.7158248599258301</v>
      </c>
      <c r="C206" s="10">
        <v>3.4443260319239601</v>
      </c>
      <c r="D206" s="10">
        <v>100.439195345179</v>
      </c>
      <c r="E206" s="13">
        <v>7.6429909811748705E-6</v>
      </c>
      <c r="F206" s="10" t="str">
        <f>"GCKR"</f>
        <v>GCKR</v>
      </c>
      <c r="G206" s="10" t="str">
        <f t="shared" si="8"/>
        <v>protein_coding</v>
      </c>
      <c r="J206" s="14"/>
    </row>
    <row r="207" spans="1:10" x14ac:dyDescent="0.2">
      <c r="A207" s="10" t="str">
        <f>"ENSG00000189350.12"</f>
        <v>ENSG00000189350.12</v>
      </c>
      <c r="B207" s="10">
        <v>-1.91934895225971</v>
      </c>
      <c r="C207" s="10">
        <v>-1.3401658889864501</v>
      </c>
      <c r="D207" s="10">
        <v>5.4394670032131902</v>
      </c>
      <c r="E207" s="10">
        <v>4.7613074054952603E-2</v>
      </c>
      <c r="F207" s="10" t="str">
        <f>"TOGARAM2"</f>
        <v>TOGARAM2</v>
      </c>
      <c r="G207" s="10" t="str">
        <f t="shared" si="8"/>
        <v>protein_coding</v>
      </c>
      <c r="J207" s="14"/>
    </row>
    <row r="208" spans="1:10" x14ac:dyDescent="0.2">
      <c r="A208" s="10" t="str">
        <f>"ENSG00000213626.13"</f>
        <v>ENSG00000213626.13</v>
      </c>
      <c r="B208" s="10">
        <v>-1.9040995326405299</v>
      </c>
      <c r="C208" s="10">
        <v>2.9169998132507402</v>
      </c>
      <c r="D208" s="10">
        <v>8.1499052276539192</v>
      </c>
      <c r="E208" s="10">
        <v>2.10535446566881E-2</v>
      </c>
      <c r="F208" s="10" t="str">
        <f>"LBH"</f>
        <v>LBH</v>
      </c>
      <c r="G208" s="10" t="str">
        <f t="shared" si="8"/>
        <v>protein_coding</v>
      </c>
      <c r="J208" s="14"/>
    </row>
    <row r="209" spans="1:10" x14ac:dyDescent="0.2">
      <c r="A209" s="10" t="str">
        <f>"ENSG00000018699.13"</f>
        <v>ENSG00000018699.13</v>
      </c>
      <c r="B209" s="10">
        <v>1.1162921998608799</v>
      </c>
      <c r="C209" s="10">
        <v>4.8094046870828304</v>
      </c>
      <c r="D209" s="10">
        <v>13.653165566426299</v>
      </c>
      <c r="E209" s="10">
        <v>5.9559140078089701E-3</v>
      </c>
      <c r="F209" s="10" t="str">
        <f>"TTC27"</f>
        <v>TTC27</v>
      </c>
      <c r="G209" s="10" t="str">
        <f t="shared" si="8"/>
        <v>protein_coding</v>
      </c>
      <c r="J209" s="14"/>
    </row>
    <row r="210" spans="1:10" x14ac:dyDescent="0.2">
      <c r="A210" s="10" t="str">
        <f>"ENSG00000049323.16"</f>
        <v>ENSG00000049323.16</v>
      </c>
      <c r="B210" s="10">
        <v>-1.3242324827722101</v>
      </c>
      <c r="C210" s="10">
        <v>1.6320185616381599</v>
      </c>
      <c r="D210" s="10">
        <v>5.9303605749959898</v>
      </c>
      <c r="E210" s="10">
        <v>4.0510324842374101E-2</v>
      </c>
      <c r="F210" s="10" t="str">
        <f>"LTBP1"</f>
        <v>LTBP1</v>
      </c>
      <c r="G210" s="10" t="str">
        <f t="shared" si="8"/>
        <v>protein_coding</v>
      </c>
      <c r="J210" s="14"/>
    </row>
    <row r="211" spans="1:10" x14ac:dyDescent="0.2">
      <c r="A211" s="10" t="str">
        <f>"ENSG00000163171.7"</f>
        <v>ENSG00000163171.7</v>
      </c>
      <c r="B211" s="10">
        <v>-1.5916655297297</v>
      </c>
      <c r="C211" s="10">
        <v>2.5088706042302702</v>
      </c>
      <c r="D211" s="10">
        <v>5.3542499883860897</v>
      </c>
      <c r="E211" s="10">
        <v>4.9003286671429003E-2</v>
      </c>
      <c r="F211" s="10" t="str">
        <f>"CDC42EP3"</f>
        <v>CDC42EP3</v>
      </c>
      <c r="G211" s="10" t="str">
        <f t="shared" si="8"/>
        <v>protein_coding</v>
      </c>
      <c r="J211" s="14"/>
    </row>
    <row r="212" spans="1:10" x14ac:dyDescent="0.2">
      <c r="A212" s="10" t="str">
        <f>"ENSG00000205111.8"</f>
        <v>ENSG00000205111.8</v>
      </c>
      <c r="B212" s="10">
        <v>1.5239017840328699</v>
      </c>
      <c r="C212" s="10">
        <v>-0.798876160456924</v>
      </c>
      <c r="D212" s="10">
        <v>6.5747872978356501</v>
      </c>
      <c r="E212" s="10">
        <v>3.310203329078E-2</v>
      </c>
      <c r="F212" s="10" t="str">
        <f>"CDKL4"</f>
        <v>CDKL4</v>
      </c>
      <c r="G212" s="10" t="str">
        <f t="shared" si="8"/>
        <v>protein_coding</v>
      </c>
      <c r="J212" s="14"/>
    </row>
    <row r="213" spans="1:10" x14ac:dyDescent="0.2">
      <c r="A213" s="10" t="str">
        <f>"ENSG00000152154.11"</f>
        <v>ENSG00000152154.11</v>
      </c>
      <c r="B213" s="10">
        <v>1.61713087839311</v>
      </c>
      <c r="C213" s="10">
        <v>1.26661001866552</v>
      </c>
      <c r="D213" s="10">
        <v>10.348113865809999</v>
      </c>
      <c r="E213" s="10">
        <v>1.20979530156245E-2</v>
      </c>
      <c r="F213" s="10" t="str">
        <f>"TMEM178A"</f>
        <v>TMEM178A</v>
      </c>
      <c r="G213" s="10" t="str">
        <f t="shared" si="8"/>
        <v>protein_coding</v>
      </c>
      <c r="J213" s="14"/>
    </row>
    <row r="214" spans="1:10" x14ac:dyDescent="0.2">
      <c r="A214" s="10" t="str">
        <f>"ENSG00000143924.19"</f>
        <v>ENSG00000143924.19</v>
      </c>
      <c r="B214" s="10">
        <v>1.13162099045013</v>
      </c>
      <c r="C214" s="10">
        <v>8.5261331571030894</v>
      </c>
      <c r="D214" s="10">
        <v>6.7082593643491704</v>
      </c>
      <c r="E214" s="10">
        <v>3.17880016372038E-2</v>
      </c>
      <c r="F214" s="10" t="str">
        <f>"EML4"</f>
        <v>EML4</v>
      </c>
      <c r="G214" s="10" t="str">
        <f t="shared" si="8"/>
        <v>protein_coding</v>
      </c>
      <c r="J214" s="14"/>
    </row>
    <row r="215" spans="1:10" x14ac:dyDescent="0.2">
      <c r="A215" s="10" t="str">
        <f>"ENSG00000226087.1"</f>
        <v>ENSG00000226087.1</v>
      </c>
      <c r="B215" s="10">
        <v>-2.2053860283238702</v>
      </c>
      <c r="C215" s="10">
        <v>-0.38657430483378602</v>
      </c>
      <c r="D215" s="10">
        <v>8.4099119141341792</v>
      </c>
      <c r="E215" s="10">
        <v>1.9633866628028001E-2</v>
      </c>
      <c r="F215" s="10" t="str">
        <f>"AC073283.2"</f>
        <v>AC073283.2</v>
      </c>
      <c r="G215" s="10" t="str">
        <f>"lincRNA"</f>
        <v>lincRNA</v>
      </c>
      <c r="J215" s="14"/>
    </row>
    <row r="216" spans="1:10" x14ac:dyDescent="0.2">
      <c r="A216" s="10" t="str">
        <f>"ENSG00000184261.4"</f>
        <v>ENSG00000184261.4</v>
      </c>
      <c r="B216" s="10">
        <v>-1.96758984706471</v>
      </c>
      <c r="C216" s="10">
        <v>-0.55891676664725598</v>
      </c>
      <c r="D216" s="10">
        <v>8.0447057073587001</v>
      </c>
      <c r="E216" s="10">
        <v>2.16645885401659E-2</v>
      </c>
      <c r="F216" s="10" t="str">
        <f>"KCNK12"</f>
        <v>KCNK12</v>
      </c>
      <c r="G216" s="10" t="str">
        <f>"protein_coding"</f>
        <v>protein_coding</v>
      </c>
      <c r="J216" s="14"/>
    </row>
    <row r="217" spans="1:10" x14ac:dyDescent="0.2">
      <c r="A217" s="10" t="str">
        <f>"ENSG00000214595.11"</f>
        <v>ENSG00000214595.11</v>
      </c>
      <c r="B217" s="10">
        <v>-1.2468459478965801</v>
      </c>
      <c r="C217" s="10">
        <v>5.4854344721104296</v>
      </c>
      <c r="D217" s="10">
        <v>24.963372856831501</v>
      </c>
      <c r="E217" s="10">
        <v>1.01936395218152E-3</v>
      </c>
      <c r="F217" s="10" t="str">
        <f>"EML6"</f>
        <v>EML6</v>
      </c>
      <c r="G217" s="10" t="str">
        <f>"protein_coding"</f>
        <v>protein_coding</v>
      </c>
      <c r="J217" s="14"/>
    </row>
    <row r="218" spans="1:10" x14ac:dyDescent="0.2">
      <c r="A218" s="10" t="str">
        <f>"ENSG00000237522.1"</f>
        <v>ENSG00000237522.1</v>
      </c>
      <c r="B218" s="10">
        <v>1.48531286585819</v>
      </c>
      <c r="C218" s="10">
        <v>-6.8937454270405096E-2</v>
      </c>
      <c r="D218" s="10">
        <v>14.4344858146763</v>
      </c>
      <c r="E218" s="10">
        <v>4.9669291323922102E-3</v>
      </c>
      <c r="F218" s="10" t="str">
        <f>"NONOP2"</f>
        <v>NONOP2</v>
      </c>
      <c r="G218" s="10" t="str">
        <f>"processed_pseudogene"</f>
        <v>processed_pseudogene</v>
      </c>
      <c r="J218" s="14"/>
    </row>
    <row r="219" spans="1:10" x14ac:dyDescent="0.2">
      <c r="A219" s="10" t="str">
        <f>"ENSG00000162927.14"</f>
        <v>ENSG00000162927.14</v>
      </c>
      <c r="B219" s="10">
        <v>1.6774382943520401</v>
      </c>
      <c r="C219" s="10">
        <v>4.8002728381230799</v>
      </c>
      <c r="D219" s="10">
        <v>9.9815571402783103</v>
      </c>
      <c r="E219" s="10">
        <v>1.31986661703631E-2</v>
      </c>
      <c r="F219" s="10" t="str">
        <f>"PUS10"</f>
        <v>PUS10</v>
      </c>
      <c r="G219" s="10" t="str">
        <f>"protein_coding"</f>
        <v>protein_coding</v>
      </c>
      <c r="J219" s="14"/>
    </row>
    <row r="220" spans="1:10" x14ac:dyDescent="0.2">
      <c r="A220" s="10" t="str">
        <f>"ENSG00000143952.20"</f>
        <v>ENSG00000143952.20</v>
      </c>
      <c r="B220" s="10">
        <v>1.0741568491778899</v>
      </c>
      <c r="C220" s="10">
        <v>6.8387868191076597</v>
      </c>
      <c r="D220" s="10">
        <v>5.9123014146809503</v>
      </c>
      <c r="E220" s="10">
        <v>4.0746783042382002E-2</v>
      </c>
      <c r="F220" s="10" t="str">
        <f>"VPS54"</f>
        <v>VPS54</v>
      </c>
      <c r="G220" s="10" t="str">
        <f>"protein_coding"</f>
        <v>protein_coding</v>
      </c>
      <c r="J220" s="14"/>
    </row>
    <row r="221" spans="1:10" x14ac:dyDescent="0.2">
      <c r="A221" s="10" t="str">
        <f>"ENSG00000223935.2"</f>
        <v>ENSG00000223935.2</v>
      </c>
      <c r="B221" s="10">
        <v>-1.70238933051945</v>
      </c>
      <c r="C221" s="10">
        <v>-1.30801716772067</v>
      </c>
      <c r="D221" s="10">
        <v>8.7505436316139793</v>
      </c>
      <c r="E221" s="10">
        <v>1.7621112657773701E-2</v>
      </c>
      <c r="F221" s="10" t="str">
        <f>"LGALSL-DT"</f>
        <v>LGALSL-DT</v>
      </c>
      <c r="G221" s="10" t="str">
        <f>"bidirectional_promoter_lncRNA"</f>
        <v>bidirectional_promoter_lncRNA</v>
      </c>
      <c r="J221" s="14"/>
    </row>
    <row r="222" spans="1:10" x14ac:dyDescent="0.2">
      <c r="A222" s="10" t="str">
        <f>"ENSG00000260101.1"</f>
        <v>ENSG00000260101.1</v>
      </c>
      <c r="B222" s="10">
        <v>1.6430664671842501</v>
      </c>
      <c r="C222" s="10">
        <v>0.61713252321382595</v>
      </c>
      <c r="D222" s="10">
        <v>14.432292258747699</v>
      </c>
      <c r="E222" s="10">
        <v>5.1259896226714301E-3</v>
      </c>
      <c r="F222" s="10" t="str">
        <f>"AC008074.2"</f>
        <v>AC008074.2</v>
      </c>
      <c r="G222" s="10" t="str">
        <f>"lincRNA"</f>
        <v>lincRNA</v>
      </c>
      <c r="J222" s="14"/>
    </row>
    <row r="223" spans="1:10" x14ac:dyDescent="0.2">
      <c r="A223" s="10" t="str">
        <f>"ENSG00000115956.10"</f>
        <v>ENSG00000115956.10</v>
      </c>
      <c r="B223" s="10">
        <v>-1.66161313626382</v>
      </c>
      <c r="C223" s="10">
        <v>-0.95035199052424901</v>
      </c>
      <c r="D223" s="10">
        <v>10.542692040820899</v>
      </c>
      <c r="E223" s="10">
        <v>1.1301195434348699E-2</v>
      </c>
      <c r="F223" s="10" t="str">
        <f>"PLEK"</f>
        <v>PLEK</v>
      </c>
      <c r="G223" s="10" t="str">
        <f>"protein_coding"</f>
        <v>protein_coding</v>
      </c>
      <c r="J223" s="14"/>
    </row>
    <row r="224" spans="1:10" x14ac:dyDescent="0.2">
      <c r="A224" s="10" t="str">
        <f>"ENSG00000244617.2"</f>
        <v>ENSG00000244617.2</v>
      </c>
      <c r="B224" s="10">
        <v>-1.7435294067073801</v>
      </c>
      <c r="C224" s="10">
        <v>0.118992038874714</v>
      </c>
      <c r="D224" s="10">
        <v>15.1933597238682</v>
      </c>
      <c r="E224" s="10">
        <v>4.4504987169245204E-3</v>
      </c>
      <c r="F224" s="10" t="str">
        <f>"ASPRV1"</f>
        <v>ASPRV1</v>
      </c>
      <c r="G224" s="10" t="str">
        <f>"protein_coding"</f>
        <v>protein_coding</v>
      </c>
      <c r="J224" s="14"/>
    </row>
    <row r="225" spans="1:10" x14ac:dyDescent="0.2">
      <c r="A225" s="10" t="str">
        <f>"ENSG00000124374.9"</f>
        <v>ENSG00000124374.9</v>
      </c>
      <c r="B225" s="10">
        <v>-2.0459468546470201</v>
      </c>
      <c r="C225" s="10">
        <v>0.19653926600412</v>
      </c>
      <c r="D225" s="10">
        <v>21.390860519618201</v>
      </c>
      <c r="E225" s="10">
        <v>1.64472079411465E-3</v>
      </c>
      <c r="F225" s="10" t="str">
        <f>"PAIP2B"</f>
        <v>PAIP2B</v>
      </c>
      <c r="G225" s="10" t="str">
        <f>"protein_coding"</f>
        <v>protein_coding</v>
      </c>
      <c r="J225" s="14"/>
    </row>
    <row r="226" spans="1:10" x14ac:dyDescent="0.2">
      <c r="A226" s="10" t="str">
        <f>"ENSG00000135638.13"</f>
        <v>ENSG00000135638.13</v>
      </c>
      <c r="B226" s="10">
        <v>-1.4200330935324901</v>
      </c>
      <c r="C226" s="10">
        <v>4.1977199956016404</v>
      </c>
      <c r="D226" s="10">
        <v>13.250936025794299</v>
      </c>
      <c r="E226" s="10">
        <v>6.4503510516062904E-3</v>
      </c>
      <c r="F226" s="10" t="str">
        <f>"EMX1"</f>
        <v>EMX1</v>
      </c>
      <c r="G226" s="10" t="str">
        <f>"protein_coding"</f>
        <v>protein_coding</v>
      </c>
      <c r="J226" s="14"/>
    </row>
    <row r="227" spans="1:10" x14ac:dyDescent="0.2">
      <c r="A227" s="10" t="str">
        <f>"ENSG00000230964.1"</f>
        <v>ENSG00000230964.1</v>
      </c>
      <c r="B227" s="10">
        <v>-2.2194711886593299</v>
      </c>
      <c r="C227" s="10">
        <v>0.49889344589111101</v>
      </c>
      <c r="D227" s="10">
        <v>26.676317705819699</v>
      </c>
      <c r="E227" s="10">
        <v>8.2575060813920695E-4</v>
      </c>
      <c r="F227" s="10" t="str">
        <f>"AC233266.1"</f>
        <v>AC233266.1</v>
      </c>
      <c r="G227" s="10" t="str">
        <f>"processed_pseudogene"</f>
        <v>processed_pseudogene</v>
      </c>
      <c r="J227" s="14"/>
    </row>
    <row r="228" spans="1:10" x14ac:dyDescent="0.2">
      <c r="A228" s="10" t="str">
        <f>"ENSG00000261600.1"</f>
        <v>ENSG00000261600.1</v>
      </c>
      <c r="B228" s="10">
        <v>-1.67454390946867</v>
      </c>
      <c r="C228" s="10">
        <v>1.13142693125732</v>
      </c>
      <c r="D228" s="10">
        <v>11.231451835591701</v>
      </c>
      <c r="E228" s="10">
        <v>9.8829733260120695E-3</v>
      </c>
      <c r="F228" s="10" t="str">
        <f>"AC233266.2"</f>
        <v>AC233266.2</v>
      </c>
      <c r="G228" s="10" t="str">
        <f>"lincRNA"</f>
        <v>lincRNA</v>
      </c>
      <c r="J228" s="14"/>
    </row>
    <row r="229" spans="1:10" x14ac:dyDescent="0.2">
      <c r="A229" s="10" t="str">
        <f>"ENSG00000155066.16"</f>
        <v>ENSG00000155066.16</v>
      </c>
      <c r="B229" s="10">
        <v>-2.3328989628069801</v>
      </c>
      <c r="C229" s="10">
        <v>-0.52695415125511003</v>
      </c>
      <c r="D229" s="10">
        <v>7.1063404427050001</v>
      </c>
      <c r="E229" s="10">
        <v>2.82415551142698E-2</v>
      </c>
      <c r="F229" s="10" t="str">
        <f>"PROM2"</f>
        <v>PROM2</v>
      </c>
      <c r="G229" s="10" t="str">
        <f>"protein_coding"</f>
        <v>protein_coding</v>
      </c>
      <c r="J229" s="14"/>
    </row>
    <row r="230" spans="1:10" x14ac:dyDescent="0.2">
      <c r="A230" s="10" t="str">
        <f>"ENSG00000144191.11"</f>
        <v>ENSG00000144191.11</v>
      </c>
      <c r="B230" s="10">
        <v>-1.72669581656216</v>
      </c>
      <c r="C230" s="10">
        <v>-1.1583218981321299</v>
      </c>
      <c r="D230" s="10">
        <v>9.6055257712945092</v>
      </c>
      <c r="E230" s="10">
        <v>1.4167708606405E-2</v>
      </c>
      <c r="F230" s="10" t="str">
        <f>"CNGA3"</f>
        <v>CNGA3</v>
      </c>
      <c r="G230" s="10" t="str">
        <f>"protein_coding"</f>
        <v>protein_coding</v>
      </c>
      <c r="J230" s="14"/>
    </row>
    <row r="231" spans="1:10" x14ac:dyDescent="0.2">
      <c r="A231" s="10" t="str">
        <f>"ENSG00000272902.2"</f>
        <v>ENSG00000272902.2</v>
      </c>
      <c r="B231" s="10">
        <v>1.0543084407685399</v>
      </c>
      <c r="C231" s="10">
        <v>0.86419186034860196</v>
      </c>
      <c r="D231" s="10">
        <v>6.0923018891589997</v>
      </c>
      <c r="E231" s="10">
        <v>3.8465810522845603E-2</v>
      </c>
      <c r="F231" s="10" t="str">
        <f>"TBC1D8-AS1"</f>
        <v>TBC1D8-AS1</v>
      </c>
      <c r="G231" s="10" t="str">
        <f>"lincRNA"</f>
        <v>lincRNA</v>
      </c>
      <c r="J231" s="14"/>
    </row>
    <row r="232" spans="1:10" x14ac:dyDescent="0.2">
      <c r="A232" s="10" t="str">
        <f>"ENSG00000115590.14"</f>
        <v>ENSG00000115590.14</v>
      </c>
      <c r="B232" s="10">
        <v>1.7328056907226601</v>
      </c>
      <c r="C232" s="10">
        <v>0.59378962740388697</v>
      </c>
      <c r="D232" s="10">
        <v>11.4111545017997</v>
      </c>
      <c r="E232" s="10">
        <v>9.4964526049247794E-3</v>
      </c>
      <c r="F232" s="10" t="str">
        <f>"IL1R2"</f>
        <v>IL1R2</v>
      </c>
      <c r="G232" s="10" t="str">
        <f>"protein_coding"</f>
        <v>protein_coding</v>
      </c>
      <c r="J232" s="14"/>
    </row>
    <row r="233" spans="1:10" x14ac:dyDescent="0.2">
      <c r="A233" s="10" t="str">
        <f>"ENSG00000115594.12"</f>
        <v>ENSG00000115594.12</v>
      </c>
      <c r="B233" s="10">
        <v>1.61719230848636</v>
      </c>
      <c r="C233" s="10">
        <v>5.4266644951067402</v>
      </c>
      <c r="D233" s="10">
        <v>38.153598113520701</v>
      </c>
      <c r="E233" s="10">
        <v>2.5295382984151299E-4</v>
      </c>
      <c r="F233" s="10" t="str">
        <f>"IL1R1"</f>
        <v>IL1R1</v>
      </c>
      <c r="G233" s="10" t="str">
        <f>"protein_coding"</f>
        <v>protein_coding</v>
      </c>
      <c r="J233" s="14"/>
    </row>
    <row r="234" spans="1:10" x14ac:dyDescent="0.2">
      <c r="A234" s="10" t="str">
        <f>"ENSG00000115604.10"</f>
        <v>ENSG00000115604.10</v>
      </c>
      <c r="B234" s="10">
        <v>1.5481709454883299</v>
      </c>
      <c r="C234" s="10">
        <v>-1.1509069689697</v>
      </c>
      <c r="D234" s="10">
        <v>5.5064442982143103</v>
      </c>
      <c r="E234" s="10">
        <v>4.6555475689903397E-2</v>
      </c>
      <c r="F234" s="10" t="str">
        <f>"IL18R1"</f>
        <v>IL18R1</v>
      </c>
      <c r="G234" s="10" t="str">
        <f>"protein_coding"</f>
        <v>protein_coding</v>
      </c>
      <c r="J234" s="14"/>
    </row>
    <row r="235" spans="1:10" x14ac:dyDescent="0.2">
      <c r="A235" s="10" t="str">
        <f>"ENSG00000115641.19"</f>
        <v>ENSG00000115641.19</v>
      </c>
      <c r="B235" s="10">
        <v>2.14681676730588</v>
      </c>
      <c r="C235" s="10">
        <v>4.9696433620024498</v>
      </c>
      <c r="D235" s="10">
        <v>31.585814905788801</v>
      </c>
      <c r="E235" s="10">
        <v>4.7688624733534702E-4</v>
      </c>
      <c r="F235" s="10" t="str">
        <f>"FHL2"</f>
        <v>FHL2</v>
      </c>
      <c r="G235" s="10" t="str">
        <f>"protein_coding"</f>
        <v>protein_coding</v>
      </c>
      <c r="J235" s="14"/>
    </row>
    <row r="236" spans="1:10" x14ac:dyDescent="0.2">
      <c r="A236" s="10" t="str">
        <f>"ENSG00000225328.1"</f>
        <v>ENSG00000225328.1</v>
      </c>
      <c r="B236" s="10">
        <v>-3.6010403812266101</v>
      </c>
      <c r="C236" s="10">
        <v>-0.91829405612996595</v>
      </c>
      <c r="D236" s="10">
        <v>15.141753150712001</v>
      </c>
      <c r="E236" s="10">
        <v>4.49264199348975E-3</v>
      </c>
      <c r="F236" s="10" t="str">
        <f>"LINC01594"</f>
        <v>LINC01594</v>
      </c>
      <c r="G236" s="10" t="str">
        <f>"antisense"</f>
        <v>antisense</v>
      </c>
      <c r="J236" s="14"/>
    </row>
    <row r="237" spans="1:10" x14ac:dyDescent="0.2">
      <c r="A237" s="10" t="str">
        <f>"ENSG00000175701.10"</f>
        <v>ENSG00000175701.10</v>
      </c>
      <c r="B237" s="10">
        <v>1.0621385151513201</v>
      </c>
      <c r="C237" s="10">
        <v>2.89658886975195</v>
      </c>
      <c r="D237" s="10">
        <v>9.3498899633823598</v>
      </c>
      <c r="E237" s="10">
        <v>1.54080312294043E-2</v>
      </c>
      <c r="F237" s="10" t="str">
        <f>"MTLN"</f>
        <v>MTLN</v>
      </c>
      <c r="G237" s="10" t="str">
        <f>"protein_coding"</f>
        <v>protein_coding</v>
      </c>
      <c r="J237" s="14"/>
    </row>
    <row r="238" spans="1:10" x14ac:dyDescent="0.2">
      <c r="A238" s="10" t="str">
        <f>"ENSG00000153093.18"</f>
        <v>ENSG00000153093.18</v>
      </c>
      <c r="B238" s="10">
        <v>-1.41687739804619</v>
      </c>
      <c r="C238" s="10">
        <v>-0.40039114493638001</v>
      </c>
      <c r="D238" s="10">
        <v>6.0787887100506</v>
      </c>
      <c r="E238" s="10">
        <v>3.8631336417587502E-2</v>
      </c>
      <c r="F238" s="10" t="str">
        <f>"ACOXL"</f>
        <v>ACOXL</v>
      </c>
      <c r="G238" s="10" t="str">
        <f>"protein_coding"</f>
        <v>protein_coding</v>
      </c>
      <c r="J238" s="14"/>
    </row>
    <row r="239" spans="1:10" x14ac:dyDescent="0.2">
      <c r="A239" s="10" t="str">
        <f>"ENSG00000204581.2"</f>
        <v>ENSG00000204581.2</v>
      </c>
      <c r="B239" s="10">
        <v>-1.5355673555631499</v>
      </c>
      <c r="C239" s="10">
        <v>-1.13276701566504</v>
      </c>
      <c r="D239" s="10">
        <v>7.0157603287498604</v>
      </c>
      <c r="E239" s="10">
        <v>2.87301015584474E-2</v>
      </c>
      <c r="F239" s="10" t="str">
        <f>"ACOXL-AS1"</f>
        <v>ACOXL-AS1</v>
      </c>
      <c r="G239" s="10" t="str">
        <f>"antisense"</f>
        <v>antisense</v>
      </c>
      <c r="J239" s="14"/>
    </row>
    <row r="240" spans="1:10" x14ac:dyDescent="0.2">
      <c r="A240" s="10" t="str">
        <f>"ENSG00000144152.13"</f>
        <v>ENSG00000144152.13</v>
      </c>
      <c r="B240" s="10">
        <v>-2.5285571476756101</v>
      </c>
      <c r="C240" s="10">
        <v>3.1422812455317799</v>
      </c>
      <c r="D240" s="10">
        <v>14.9877455977777</v>
      </c>
      <c r="E240" s="10">
        <v>4.6214124843423797E-3</v>
      </c>
      <c r="F240" s="10" t="str">
        <f>"FBLN7"</f>
        <v>FBLN7</v>
      </c>
      <c r="G240" s="10" t="str">
        <f>"protein_coding"</f>
        <v>protein_coding</v>
      </c>
      <c r="J240" s="14"/>
    </row>
    <row r="241" spans="1:10" x14ac:dyDescent="0.2">
      <c r="A241" s="10" t="str">
        <f>"ENSG00000278962.1"</f>
        <v>ENSG00000278962.1</v>
      </c>
      <c r="B241" s="10">
        <v>-2.83541431517803</v>
      </c>
      <c r="C241" s="10">
        <v>0.35752069107744999</v>
      </c>
      <c r="D241" s="10">
        <v>15.569490542677</v>
      </c>
      <c r="E241" s="10">
        <v>4.1578161035254304E-3</v>
      </c>
      <c r="F241" s="10" t="str">
        <f>"AC092645.1"</f>
        <v>AC092645.1</v>
      </c>
      <c r="G241" s="10" t="str">
        <f>"TEC"</f>
        <v>TEC</v>
      </c>
      <c r="J241" s="14"/>
    </row>
    <row r="242" spans="1:10" x14ac:dyDescent="0.2">
      <c r="A242" s="10" t="str">
        <f>"ENSG00000136689.18"</f>
        <v>ENSG00000136689.18</v>
      </c>
      <c r="B242" s="10">
        <v>1.08287738822672</v>
      </c>
      <c r="C242" s="10">
        <v>4.9070278667291403</v>
      </c>
      <c r="D242" s="10">
        <v>21.1079104915842</v>
      </c>
      <c r="E242" s="10">
        <v>1.7125994978273299E-3</v>
      </c>
      <c r="F242" s="10" t="str">
        <f>"IL1RN"</f>
        <v>IL1RN</v>
      </c>
      <c r="G242" s="10" t="str">
        <f>"protein_coding"</f>
        <v>protein_coding</v>
      </c>
      <c r="J242" s="14"/>
    </row>
    <row r="243" spans="1:10" x14ac:dyDescent="0.2">
      <c r="A243" s="10" t="str">
        <f>"ENSG00000227359.1"</f>
        <v>ENSG00000227359.1</v>
      </c>
      <c r="B243" s="10">
        <v>-1.0617868051916299</v>
      </c>
      <c r="C243" s="10">
        <v>0.89618754025765701</v>
      </c>
      <c r="D243" s="10">
        <v>9.7453934391035801</v>
      </c>
      <c r="E243" s="10">
        <v>1.3717919246561501E-2</v>
      </c>
      <c r="F243" s="10" t="str">
        <f>"AC017074.1"</f>
        <v>AC017074.1</v>
      </c>
      <c r="G243" s="10" t="str">
        <f>"lincRNA"</f>
        <v>lincRNA</v>
      </c>
      <c r="J243" s="14"/>
    </row>
    <row r="244" spans="1:10" x14ac:dyDescent="0.2">
      <c r="A244" s="10" t="str">
        <f>"ENSG00000236255.1"</f>
        <v>ENSG00000236255.1</v>
      </c>
      <c r="B244" s="10">
        <v>-1.1320688183583101</v>
      </c>
      <c r="C244" s="10">
        <v>2.5043945786276298</v>
      </c>
      <c r="D244" s="10">
        <v>8.5218105469497392</v>
      </c>
      <c r="E244" s="10">
        <v>1.9060064022169001E-2</v>
      </c>
      <c r="F244" s="10" t="str">
        <f>"AC009404.1"</f>
        <v>AC009404.1</v>
      </c>
      <c r="G244" s="10" t="str">
        <f>"lincRNA"</f>
        <v>lincRNA</v>
      </c>
      <c r="J244" s="14"/>
    </row>
    <row r="245" spans="1:10" x14ac:dyDescent="0.2">
      <c r="A245" s="10" t="str">
        <f>"ENSG00000279227.1"</f>
        <v>ENSG00000279227.1</v>
      </c>
      <c r="B245" s="10">
        <v>1.04921458834489</v>
      </c>
      <c r="C245" s="10">
        <v>2.5935442947145999</v>
      </c>
      <c r="D245" s="10">
        <v>11.880593760072401</v>
      </c>
      <c r="E245" s="10">
        <v>8.5725740357769694E-3</v>
      </c>
      <c r="F245" s="10" t="str">
        <f>"AC009303.4"</f>
        <v>AC009303.4</v>
      </c>
      <c r="G245" s="10" t="str">
        <f>"TEC"</f>
        <v>TEC</v>
      </c>
      <c r="J245" s="14"/>
    </row>
    <row r="246" spans="1:10" x14ac:dyDescent="0.2">
      <c r="A246" s="10" t="str">
        <f>"ENSG00000125629.15"</f>
        <v>ENSG00000125629.15</v>
      </c>
      <c r="B246" s="10">
        <v>1.7006205563601899</v>
      </c>
      <c r="C246" s="10">
        <v>7.0302613440030299</v>
      </c>
      <c r="D246" s="10">
        <v>6.1945709433836003</v>
      </c>
      <c r="E246" s="10">
        <v>3.7241798602904101E-2</v>
      </c>
      <c r="F246" s="10" t="str">
        <f>"INSIG2"</f>
        <v>INSIG2</v>
      </c>
      <c r="G246" s="10" t="str">
        <f>"protein_coding"</f>
        <v>protein_coding</v>
      </c>
      <c r="J246" s="14"/>
    </row>
    <row r="247" spans="1:10" x14ac:dyDescent="0.2">
      <c r="A247" s="10" t="str">
        <f>"ENSG00000163075.13"</f>
        <v>ENSG00000163075.13</v>
      </c>
      <c r="B247" s="10">
        <v>-1.98892679412415</v>
      </c>
      <c r="C247" s="10">
        <v>0.470796819052889</v>
      </c>
      <c r="D247" s="10">
        <v>7.5530753547382803</v>
      </c>
      <c r="E247" s="10">
        <v>2.4835750773258801E-2</v>
      </c>
      <c r="F247" s="10" t="str">
        <f>"CFAP221"</f>
        <v>CFAP221</v>
      </c>
      <c r="G247" s="10" t="str">
        <f>"protein_coding"</f>
        <v>protein_coding</v>
      </c>
      <c r="J247" s="14"/>
    </row>
    <row r="248" spans="1:10" x14ac:dyDescent="0.2">
      <c r="A248" s="10" t="str">
        <f>"ENSG00000136717.15"</f>
        <v>ENSG00000136717.15</v>
      </c>
      <c r="B248" s="10">
        <v>1.1395534585924101</v>
      </c>
      <c r="C248" s="10">
        <v>3.34695403060736</v>
      </c>
      <c r="D248" s="10">
        <v>10.136732622959</v>
      </c>
      <c r="E248" s="10">
        <v>1.27179606235584E-2</v>
      </c>
      <c r="F248" s="10" t="str">
        <f>"BIN1"</f>
        <v>BIN1</v>
      </c>
      <c r="G248" s="10" t="str">
        <f>"protein_coding"</f>
        <v>protein_coding</v>
      </c>
      <c r="J248" s="14"/>
    </row>
    <row r="249" spans="1:10" x14ac:dyDescent="0.2">
      <c r="A249" s="10" t="str">
        <f>"ENSG00000152076.18"</f>
        <v>ENSG00000152076.18</v>
      </c>
      <c r="B249" s="10">
        <v>-1.2405609731463301</v>
      </c>
      <c r="C249" s="10">
        <v>1.5362412343063401</v>
      </c>
      <c r="D249" s="10">
        <v>8.6963952175047599</v>
      </c>
      <c r="E249" s="10">
        <v>1.8206314583207001E-2</v>
      </c>
      <c r="F249" s="10" t="str">
        <f>"CCDC74B"</f>
        <v>CCDC74B</v>
      </c>
      <c r="G249" s="10" t="str">
        <f>"protein_coding"</f>
        <v>protein_coding</v>
      </c>
      <c r="J249" s="14"/>
    </row>
    <row r="250" spans="1:10" x14ac:dyDescent="0.2">
      <c r="A250" s="10" t="str">
        <f>"ENSG00000150540.14"</f>
        <v>ENSG00000150540.14</v>
      </c>
      <c r="B250" s="10">
        <v>1.1237237782109899</v>
      </c>
      <c r="C250" s="10">
        <v>6.2440183550704704</v>
      </c>
      <c r="D250" s="10">
        <v>8.9600669575872693</v>
      </c>
      <c r="E250" s="10">
        <v>1.7006060069784199E-2</v>
      </c>
      <c r="F250" s="10" t="str">
        <f>"HNMT"</f>
        <v>HNMT</v>
      </c>
      <c r="G250" s="10" t="str">
        <f>"protein_coding"</f>
        <v>protein_coding</v>
      </c>
      <c r="J250" s="14"/>
    </row>
    <row r="251" spans="1:10" x14ac:dyDescent="0.2">
      <c r="A251" s="10" t="str">
        <f>"ENSG00000230569.1"</f>
        <v>ENSG00000230569.1</v>
      </c>
      <c r="B251" s="10">
        <v>-2.8288520227295102</v>
      </c>
      <c r="C251" s="10">
        <v>-1.4407745921742099</v>
      </c>
      <c r="D251" s="10">
        <v>16.9140154337063</v>
      </c>
      <c r="E251" s="10">
        <v>3.1733858163982402E-3</v>
      </c>
      <c r="F251" s="10" t="str">
        <f>"AC114763.2"</f>
        <v>AC114763.2</v>
      </c>
      <c r="G251" s="10" t="str">
        <f>"lincRNA"</f>
        <v>lincRNA</v>
      </c>
      <c r="J251" s="14"/>
    </row>
    <row r="252" spans="1:10" x14ac:dyDescent="0.2">
      <c r="A252" s="10" t="str">
        <f>"ENSG00000168280.17"</f>
        <v>ENSG00000168280.17</v>
      </c>
      <c r="B252" s="10">
        <v>-1.8123169328087401</v>
      </c>
      <c r="C252" s="10">
        <v>2.0800666274922501</v>
      </c>
      <c r="D252" s="10">
        <v>18.577080006586598</v>
      </c>
      <c r="E252" s="10">
        <v>2.5070996291756101E-3</v>
      </c>
      <c r="F252" s="10" t="str">
        <f>"KIF5C"</f>
        <v>KIF5C</v>
      </c>
      <c r="G252" s="10" t="str">
        <f t="shared" ref="G252:G257" si="9">"protein_coding"</f>
        <v>protein_coding</v>
      </c>
      <c r="J252" s="14"/>
    </row>
    <row r="253" spans="1:10" x14ac:dyDescent="0.2">
      <c r="A253" s="10" t="str">
        <f>"ENSG00000187123.15"</f>
        <v>ENSG00000187123.15</v>
      </c>
      <c r="B253" s="10">
        <v>-2.2783123210837601</v>
      </c>
      <c r="C253" s="10">
        <v>-0.24303868040065801</v>
      </c>
      <c r="D253" s="10">
        <v>13.8150032071767</v>
      </c>
      <c r="E253" s="10">
        <v>5.7704165270580096E-3</v>
      </c>
      <c r="F253" s="10" t="str">
        <f>"LYPD6"</f>
        <v>LYPD6</v>
      </c>
      <c r="G253" s="10" t="str">
        <f t="shared" si="9"/>
        <v>protein_coding</v>
      </c>
      <c r="J253" s="14"/>
    </row>
    <row r="254" spans="1:10" x14ac:dyDescent="0.2">
      <c r="A254" s="10" t="str">
        <f>"ENSG00000115963.13"</f>
        <v>ENSG00000115963.13</v>
      </c>
      <c r="B254" s="10">
        <v>-1.7745184120369499</v>
      </c>
      <c r="C254" s="10">
        <v>2.69646308128493</v>
      </c>
      <c r="D254" s="10">
        <v>9.9392025726066002</v>
      </c>
      <c r="E254" s="10">
        <v>1.3333820921056E-2</v>
      </c>
      <c r="F254" s="10" t="str">
        <f>"RND3"</f>
        <v>RND3</v>
      </c>
      <c r="G254" s="10" t="str">
        <f t="shared" si="9"/>
        <v>protein_coding</v>
      </c>
      <c r="J254" s="14"/>
    </row>
    <row r="255" spans="1:10" x14ac:dyDescent="0.2">
      <c r="A255" s="10" t="str">
        <f>"ENSG00000123609.10"</f>
        <v>ENSG00000123609.10</v>
      </c>
      <c r="B255" s="10">
        <v>2.4231299649335001</v>
      </c>
      <c r="C255" s="10">
        <v>2.4404690932525002</v>
      </c>
      <c r="D255" s="10">
        <v>40.136552753119297</v>
      </c>
      <c r="E255" s="10">
        <v>2.12687842162565E-4</v>
      </c>
      <c r="F255" s="10" t="str">
        <f>"NMI"</f>
        <v>NMI</v>
      </c>
      <c r="G255" s="10" t="str">
        <f t="shared" si="9"/>
        <v>protein_coding</v>
      </c>
      <c r="J255" s="14"/>
    </row>
    <row r="256" spans="1:10" x14ac:dyDescent="0.2">
      <c r="A256" s="10" t="str">
        <f>"ENSG00000144278.15"</f>
        <v>ENSG00000144278.15</v>
      </c>
      <c r="B256" s="10">
        <v>-1.7581267073749201</v>
      </c>
      <c r="C256" s="10">
        <v>1.4534550769849901</v>
      </c>
      <c r="D256" s="10">
        <v>17.008158010550101</v>
      </c>
      <c r="E256" s="10">
        <v>3.2381692956854002E-3</v>
      </c>
      <c r="F256" s="10" t="str">
        <f>"GALNT13"</f>
        <v>GALNT13</v>
      </c>
      <c r="G256" s="10" t="str">
        <f t="shared" si="9"/>
        <v>protein_coding</v>
      </c>
      <c r="J256" s="14"/>
    </row>
    <row r="257" spans="1:10" x14ac:dyDescent="0.2">
      <c r="A257" s="10" t="str">
        <f>"ENSG00000123612.16"</f>
        <v>ENSG00000123612.16</v>
      </c>
      <c r="B257" s="10">
        <v>-1.41360853925805</v>
      </c>
      <c r="C257" s="10">
        <v>-1.0891110780225101E-2</v>
      </c>
      <c r="D257" s="10">
        <v>9.5519256078335903</v>
      </c>
      <c r="E257" s="10">
        <v>1.46540062147226E-2</v>
      </c>
      <c r="F257" s="10" t="str">
        <f>"ACVR1C"</f>
        <v>ACVR1C</v>
      </c>
      <c r="G257" s="10" t="str">
        <f t="shared" si="9"/>
        <v>protein_coding</v>
      </c>
      <c r="J257" s="14"/>
    </row>
    <row r="258" spans="1:10" x14ac:dyDescent="0.2">
      <c r="A258" s="10" t="str">
        <f>"ENSG00000271924.1"</f>
        <v>ENSG00000271924.1</v>
      </c>
      <c r="B258" s="10">
        <v>1.6479211409580601</v>
      </c>
      <c r="C258" s="10">
        <v>-1.9704345918674999</v>
      </c>
      <c r="D258" s="10">
        <v>5.62288730968063</v>
      </c>
      <c r="E258" s="10">
        <v>4.4289121199277498E-2</v>
      </c>
      <c r="F258" s="10" t="str">
        <f>"RNA5SP108"</f>
        <v>RNA5SP108</v>
      </c>
      <c r="G258" s="10" t="str">
        <f>"rRNA_pseudogene"</f>
        <v>rRNA_pseudogene</v>
      </c>
      <c r="J258" s="14"/>
    </row>
    <row r="259" spans="1:10" x14ac:dyDescent="0.2">
      <c r="A259" s="10" t="str">
        <f>"ENSG00000197635.10"</f>
        <v>ENSG00000197635.10</v>
      </c>
      <c r="B259" s="10">
        <v>1.6194102547595</v>
      </c>
      <c r="C259" s="10">
        <v>3.3656234227550201</v>
      </c>
      <c r="D259" s="10">
        <v>30.200131007614502</v>
      </c>
      <c r="E259" s="10">
        <v>5.5269696639729604E-4</v>
      </c>
      <c r="F259" s="10" t="str">
        <f>"DPP4"</f>
        <v>DPP4</v>
      </c>
      <c r="G259" s="10" t="str">
        <f>"protein_coding"</f>
        <v>protein_coding</v>
      </c>
      <c r="J259" s="14"/>
    </row>
    <row r="260" spans="1:10" x14ac:dyDescent="0.2">
      <c r="A260" s="10" t="str">
        <f>"ENSG00000184611.11"</f>
        <v>ENSG00000184611.11</v>
      </c>
      <c r="B260" s="10">
        <v>-1.6471738284295101</v>
      </c>
      <c r="C260" s="10">
        <v>-0.56693370333124704</v>
      </c>
      <c r="D260" s="10">
        <v>9.0015268528565002</v>
      </c>
      <c r="E260" s="10">
        <v>1.68264910799963E-2</v>
      </c>
      <c r="F260" s="10" t="str">
        <f>"KCNH7"</f>
        <v>KCNH7</v>
      </c>
      <c r="G260" s="10" t="str">
        <f>"protein_coding"</f>
        <v>protein_coding</v>
      </c>
      <c r="J260" s="14"/>
    </row>
    <row r="261" spans="1:10" x14ac:dyDescent="0.2">
      <c r="A261" s="10" t="str">
        <f>"ENSG00000182263.14"</f>
        <v>ENSG00000182263.14</v>
      </c>
      <c r="B261" s="10">
        <v>1.9461213707024201</v>
      </c>
      <c r="C261" s="10">
        <v>3.3727475164828502</v>
      </c>
      <c r="D261" s="10">
        <v>16.340389939082101</v>
      </c>
      <c r="E261" s="10">
        <v>3.6294969727265198E-3</v>
      </c>
      <c r="F261" s="10" t="str">
        <f>"FIGN"</f>
        <v>FIGN</v>
      </c>
      <c r="G261" s="10" t="str">
        <f>"protein_coding"</f>
        <v>protein_coding</v>
      </c>
      <c r="J261" s="14"/>
    </row>
    <row r="262" spans="1:10" x14ac:dyDescent="0.2">
      <c r="A262" s="10" t="str">
        <f>"ENSG00000169507.9"</f>
        <v>ENSG00000169507.9</v>
      </c>
      <c r="B262" s="10">
        <v>1.4337506126749999</v>
      </c>
      <c r="C262" s="10">
        <v>3.1466123912894401</v>
      </c>
      <c r="D262" s="10">
        <v>10.1067945115527</v>
      </c>
      <c r="E262" s="10">
        <v>1.28089697861646E-2</v>
      </c>
      <c r="F262" s="10" t="str">
        <f>"SLC38A11"</f>
        <v>SLC38A11</v>
      </c>
      <c r="G262" s="10" t="str">
        <f>"protein_coding"</f>
        <v>protein_coding</v>
      </c>
      <c r="J262" s="14"/>
    </row>
    <row r="263" spans="1:10" x14ac:dyDescent="0.2">
      <c r="A263" s="10" t="str">
        <f>"ENSG00000115339.13"</f>
        <v>ENSG00000115339.13</v>
      </c>
      <c r="B263" s="10">
        <v>1.29129157505619</v>
      </c>
      <c r="C263" s="10">
        <v>-0.40791229377260102</v>
      </c>
      <c r="D263" s="10">
        <v>7.6939029783480199</v>
      </c>
      <c r="E263" s="10">
        <v>2.38454231337588E-2</v>
      </c>
      <c r="F263" s="10" t="str">
        <f>"GALNT3"</f>
        <v>GALNT3</v>
      </c>
      <c r="G263" s="10" t="str">
        <f>"protein_coding"</f>
        <v>protein_coding</v>
      </c>
      <c r="J263" s="14"/>
    </row>
    <row r="264" spans="1:10" x14ac:dyDescent="0.2">
      <c r="A264" s="10" t="str">
        <f>"ENSG00000236107.9"</f>
        <v>ENSG00000236107.9</v>
      </c>
      <c r="B264" s="10">
        <v>1.00991723454475</v>
      </c>
      <c r="C264" s="10">
        <v>-0.215782325345208</v>
      </c>
      <c r="D264" s="10">
        <v>6.3159780215436898</v>
      </c>
      <c r="E264" s="10">
        <v>3.5395324524277398E-2</v>
      </c>
      <c r="F264" s="10" t="str">
        <f>"SCN1A-AS1"</f>
        <v>SCN1A-AS1</v>
      </c>
      <c r="G264" s="10" t="str">
        <f>"antisense"</f>
        <v>antisense</v>
      </c>
      <c r="J264" s="14"/>
    </row>
    <row r="265" spans="1:10" x14ac:dyDescent="0.2">
      <c r="A265" s="10" t="str">
        <f>"ENSG00000144285.19"</f>
        <v>ENSG00000144285.19</v>
      </c>
      <c r="B265" s="10">
        <v>1.48836125047185</v>
      </c>
      <c r="C265" s="10">
        <v>2.38726974187351</v>
      </c>
      <c r="D265" s="10">
        <v>8.3355416881053106</v>
      </c>
      <c r="E265" s="10">
        <v>2.0027292088371298E-2</v>
      </c>
      <c r="F265" s="10" t="str">
        <f>"SCN1A"</f>
        <v>SCN1A</v>
      </c>
      <c r="G265" s="10" t="str">
        <f>"protein_coding"</f>
        <v>protein_coding</v>
      </c>
      <c r="J265" s="14"/>
    </row>
    <row r="266" spans="1:10" x14ac:dyDescent="0.2">
      <c r="A266" s="10" t="str">
        <f>"ENSG00000115840.14"</f>
        <v>ENSG00000115840.14</v>
      </c>
      <c r="B266" s="10">
        <v>1.5742946079881199</v>
      </c>
      <c r="C266" s="10">
        <v>3.1961175733673701</v>
      </c>
      <c r="D266" s="10">
        <v>49.750740061478702</v>
      </c>
      <c r="E266" s="13">
        <v>9.2614092387702406E-5</v>
      </c>
      <c r="F266" s="10" t="str">
        <f>"SLC25A12"</f>
        <v>SLC25A12</v>
      </c>
      <c r="G266" s="10" t="str">
        <f>"protein_coding"</f>
        <v>protein_coding</v>
      </c>
      <c r="J266" s="14"/>
    </row>
    <row r="267" spans="1:10" x14ac:dyDescent="0.2">
      <c r="A267" s="10" t="str">
        <f>"ENSG00000144355.15"</f>
        <v>ENSG00000144355.15</v>
      </c>
      <c r="B267" s="10">
        <v>1.11065635747094</v>
      </c>
      <c r="C267" s="10">
        <v>2.3335796000325599</v>
      </c>
      <c r="D267" s="10">
        <v>8.2136973520427006</v>
      </c>
      <c r="E267" s="10">
        <v>2.0693569805432199E-2</v>
      </c>
      <c r="F267" s="10" t="str">
        <f>"DLX1"</f>
        <v>DLX1</v>
      </c>
      <c r="G267" s="10" t="str">
        <f>"protein_coding"</f>
        <v>protein_coding</v>
      </c>
      <c r="J267" s="14"/>
    </row>
    <row r="268" spans="1:10" x14ac:dyDescent="0.2">
      <c r="A268" s="10" t="str">
        <f>"ENSG00000207744.1"</f>
        <v>ENSG00000207744.1</v>
      </c>
      <c r="B268" s="10">
        <v>-3.03388660065011</v>
      </c>
      <c r="C268" s="10">
        <v>-2.1577649408067101</v>
      </c>
      <c r="D268" s="10">
        <v>7.4727803353135496</v>
      </c>
      <c r="E268" s="10">
        <v>2.5408033942871E-2</v>
      </c>
      <c r="F268" s="10" t="str">
        <f>"MIR10B"</f>
        <v>MIR10B</v>
      </c>
      <c r="G268" s="10" t="str">
        <f>"miRNA"</f>
        <v>miRNA</v>
      </c>
      <c r="J268" s="14"/>
    </row>
    <row r="269" spans="1:10" x14ac:dyDescent="0.2">
      <c r="A269" s="10" t="str">
        <f>"ENSG00000230552.5"</f>
        <v>ENSG00000230552.5</v>
      </c>
      <c r="B269" s="10">
        <v>-2.1511028650239199</v>
      </c>
      <c r="C269" s="10">
        <v>-1.8448765485729199</v>
      </c>
      <c r="D269" s="10">
        <v>5.53679134883218</v>
      </c>
      <c r="E269" s="10">
        <v>4.6086120856726601E-2</v>
      </c>
      <c r="F269" s="10" t="str">
        <f>"AC092162.2"</f>
        <v>AC092162.2</v>
      </c>
      <c r="G269" s="10" t="str">
        <f>"lincRNA"</f>
        <v>lincRNA</v>
      </c>
      <c r="J269" s="14"/>
    </row>
    <row r="270" spans="1:10" x14ac:dyDescent="0.2">
      <c r="A270" s="10" t="str">
        <f>"ENSG00000213963.6"</f>
        <v>ENSG00000213963.6</v>
      </c>
      <c r="B270" s="10">
        <v>-1.1518400657802099</v>
      </c>
      <c r="C270" s="10">
        <v>2.9930340685518702</v>
      </c>
      <c r="D270" s="10">
        <v>17.8769924932189</v>
      </c>
      <c r="E270" s="10">
        <v>2.8046760574087998E-3</v>
      </c>
      <c r="F270" s="10" t="str">
        <f>"AC019080.1"</f>
        <v>AC019080.1</v>
      </c>
      <c r="G270" s="10" t="str">
        <f>"sense_overlapping"</f>
        <v>sense_overlapping</v>
      </c>
      <c r="J270" s="14"/>
    </row>
    <row r="271" spans="1:10" x14ac:dyDescent="0.2">
      <c r="A271" s="10" t="str">
        <f>"ENSG00000278418.1"</f>
        <v>ENSG00000278418.1</v>
      </c>
      <c r="B271" s="10">
        <v>-3.04389639820783</v>
      </c>
      <c r="C271" s="10">
        <v>-2.1548006164089002</v>
      </c>
      <c r="D271" s="10">
        <v>9.0003838457594991</v>
      </c>
      <c r="E271" s="10">
        <v>1.66049677821259E-2</v>
      </c>
      <c r="F271" s="10" t="str">
        <f>"MIR6512"</f>
        <v>MIR6512</v>
      </c>
      <c r="G271" s="10" t="str">
        <f>"miRNA"</f>
        <v>miRNA</v>
      </c>
      <c r="J271" s="14"/>
    </row>
    <row r="272" spans="1:10" x14ac:dyDescent="0.2">
      <c r="A272" s="10" t="str">
        <f>"ENSG00000128655.18"</f>
        <v>ENSG00000128655.18</v>
      </c>
      <c r="B272" s="10">
        <v>2.7631987187305902</v>
      </c>
      <c r="C272" s="10">
        <v>2.0279692552612301</v>
      </c>
      <c r="D272" s="10">
        <v>81.045006959244702</v>
      </c>
      <c r="E272" s="13">
        <v>1.5314054509423701E-5</v>
      </c>
      <c r="F272" s="10" t="str">
        <f>"PDE11A"</f>
        <v>PDE11A</v>
      </c>
      <c r="G272" s="10" t="str">
        <f>"protein_coding"</f>
        <v>protein_coding</v>
      </c>
      <c r="J272" s="14"/>
    </row>
    <row r="273" spans="1:10" x14ac:dyDescent="0.2">
      <c r="A273" s="10" t="str">
        <f>"ENSG00000144331.20"</f>
        <v>ENSG00000144331.20</v>
      </c>
      <c r="B273" s="10">
        <v>1.1161637325359699</v>
      </c>
      <c r="C273" s="10">
        <v>-0.15477760700188201</v>
      </c>
      <c r="D273" s="10">
        <v>8.4260253948417905</v>
      </c>
      <c r="E273" s="10">
        <v>1.92048212999377E-2</v>
      </c>
      <c r="F273" s="10" t="str">
        <f>"ZNF385B"</f>
        <v>ZNF385B</v>
      </c>
      <c r="G273" s="10" t="str">
        <f>"protein_coding"</f>
        <v>protein_coding</v>
      </c>
      <c r="J273" s="14"/>
    </row>
    <row r="274" spans="1:10" x14ac:dyDescent="0.2">
      <c r="A274" s="10" t="str">
        <f>"ENSG00000170396.8"</f>
        <v>ENSG00000170396.8</v>
      </c>
      <c r="B274" s="10">
        <v>2.0047502030378599</v>
      </c>
      <c r="C274" s="10">
        <v>1.0830188456084</v>
      </c>
      <c r="D274" s="10">
        <v>15.8880232435598</v>
      </c>
      <c r="E274" s="10">
        <v>3.92857033290422E-3</v>
      </c>
      <c r="F274" s="10" t="str">
        <f>"ZNF804A"</f>
        <v>ZNF804A</v>
      </c>
      <c r="G274" s="10" t="str">
        <f>"protein_coding"</f>
        <v>protein_coding</v>
      </c>
      <c r="J274" s="14"/>
    </row>
    <row r="275" spans="1:10" x14ac:dyDescent="0.2">
      <c r="A275" s="10" t="str">
        <f>"ENSG00000237877.6"</f>
        <v>ENSG00000237877.6</v>
      </c>
      <c r="B275" s="10">
        <v>2.0371972648019101</v>
      </c>
      <c r="C275" s="10">
        <v>-0.86809771976949102</v>
      </c>
      <c r="D275" s="10">
        <v>12.0718654459627</v>
      </c>
      <c r="E275" s="10">
        <v>8.2286001909929792E-3</v>
      </c>
      <c r="F275" s="10" t="str">
        <f>"LINC01473"</f>
        <v>LINC01473</v>
      </c>
      <c r="G275" s="10" t="str">
        <f>"lincRNA"</f>
        <v>lincRNA</v>
      </c>
      <c r="J275" s="14"/>
    </row>
    <row r="276" spans="1:10" x14ac:dyDescent="0.2">
      <c r="A276" s="10" t="str">
        <f>"ENSG00000270757.1"</f>
        <v>ENSG00000270757.1</v>
      </c>
      <c r="B276" s="10">
        <v>-2.3973827610583198</v>
      </c>
      <c r="C276" s="10">
        <v>-1.43029167822771</v>
      </c>
      <c r="D276" s="10">
        <v>6.0691368693148098</v>
      </c>
      <c r="E276" s="10">
        <v>3.8750117143949998E-2</v>
      </c>
      <c r="F276" s="10" t="str">
        <f>"HSPE1-MOB4"</f>
        <v>HSPE1-MOB4</v>
      </c>
      <c r="G276" s="10" t="str">
        <f>"protein_coding"</f>
        <v>protein_coding</v>
      </c>
      <c r="J276" s="14"/>
    </row>
    <row r="277" spans="1:10" x14ac:dyDescent="0.2">
      <c r="A277" s="10" t="str">
        <f>"ENSG00000237166.1"</f>
        <v>ENSG00000237166.1</v>
      </c>
      <c r="B277" s="10">
        <v>-1.8439162103600799</v>
      </c>
      <c r="C277" s="10">
        <v>-1.2047558439083701</v>
      </c>
      <c r="D277" s="10">
        <v>6.3510166530429597</v>
      </c>
      <c r="E277" s="10">
        <v>3.5463259842438297E-2</v>
      </c>
      <c r="F277" s="10" t="str">
        <f>"LINC01792"</f>
        <v>LINC01792</v>
      </c>
      <c r="G277" s="10" t="str">
        <f>"lincRNA"</f>
        <v>lincRNA</v>
      </c>
      <c r="J277" s="14"/>
    </row>
    <row r="278" spans="1:10" x14ac:dyDescent="0.2">
      <c r="A278" s="10" t="str">
        <f>"ENSG00000230799.1"</f>
        <v>ENSG00000230799.1</v>
      </c>
      <c r="B278" s="10">
        <v>1.67131160577106</v>
      </c>
      <c r="C278" s="10">
        <v>-1.2179472731901</v>
      </c>
      <c r="D278" s="10">
        <v>7.6486797758574303</v>
      </c>
      <c r="E278" s="10">
        <v>2.4025332714522799E-2</v>
      </c>
      <c r="F278" s="10" t="str">
        <f>"AC007279.1"</f>
        <v>AC007279.1</v>
      </c>
      <c r="G278" s="10" t="str">
        <f>"processed_pseudogene"</f>
        <v>processed_pseudogene</v>
      </c>
      <c r="J278" s="14"/>
    </row>
    <row r="279" spans="1:10" x14ac:dyDescent="0.2">
      <c r="A279" s="10" t="str">
        <f>"ENSG00000118257.16"</f>
        <v>ENSG00000118257.16</v>
      </c>
      <c r="B279" s="10">
        <v>-1.57558178065542</v>
      </c>
      <c r="C279" s="10">
        <v>7.68349078677252</v>
      </c>
      <c r="D279" s="10">
        <v>15.5744427682002</v>
      </c>
      <c r="E279" s="10">
        <v>4.1541258334361498E-3</v>
      </c>
      <c r="F279" s="10" t="str">
        <f>"NRP2"</f>
        <v>NRP2</v>
      </c>
      <c r="G279" s="10" t="str">
        <f>"protein_coding"</f>
        <v>protein_coding</v>
      </c>
      <c r="J279" s="14"/>
    </row>
    <row r="280" spans="1:10" x14ac:dyDescent="0.2">
      <c r="A280" s="10" t="str">
        <f>"ENSG00000114948.13"</f>
        <v>ENSG00000114948.13</v>
      </c>
      <c r="B280" s="10">
        <v>-2.1804510170239002</v>
      </c>
      <c r="C280" s="10">
        <v>3.0934384436037101</v>
      </c>
      <c r="D280" s="10">
        <v>9.6919901740194394</v>
      </c>
      <c r="E280" s="10">
        <v>1.4158350022116999E-2</v>
      </c>
      <c r="F280" s="10" t="str">
        <f>"ADAM23"</f>
        <v>ADAM23</v>
      </c>
      <c r="G280" s="10" t="str">
        <f>"protein_coding"</f>
        <v>protein_coding</v>
      </c>
      <c r="J280" s="14"/>
    </row>
    <row r="281" spans="1:10" x14ac:dyDescent="0.2">
      <c r="A281" s="10" t="str">
        <f>"ENSG00000228577.1"</f>
        <v>ENSG00000228577.1</v>
      </c>
      <c r="B281" s="10">
        <v>-2.4514715336948498</v>
      </c>
      <c r="C281" s="10">
        <v>-1.67200384140889</v>
      </c>
      <c r="D281" s="10">
        <v>9.5018977881787094</v>
      </c>
      <c r="E281" s="10">
        <v>1.47293313488643E-2</v>
      </c>
      <c r="F281" s="10" t="str">
        <f>"AC010731.2"</f>
        <v>AC010731.2</v>
      </c>
      <c r="G281" s="10" t="str">
        <f>"antisense"</f>
        <v>antisense</v>
      </c>
      <c r="J281" s="14"/>
    </row>
    <row r="282" spans="1:10" x14ac:dyDescent="0.2">
      <c r="A282" s="10" t="str">
        <f>"ENSG00000115361.8"</f>
        <v>ENSG00000115361.8</v>
      </c>
      <c r="B282" s="10">
        <v>-3.0250882368960399</v>
      </c>
      <c r="C282" s="10">
        <v>-1.67282480516514</v>
      </c>
      <c r="D282" s="10">
        <v>9.4093712210893603</v>
      </c>
      <c r="E282" s="10">
        <v>1.5181074288517201E-2</v>
      </c>
      <c r="F282" s="10" t="str">
        <f>"ACADL"</f>
        <v>ACADL</v>
      </c>
      <c r="G282" s="10" t="str">
        <f t="shared" ref="G282:G291" si="10">"protein_coding"</f>
        <v>protein_coding</v>
      </c>
      <c r="J282" s="14"/>
    </row>
    <row r="283" spans="1:10" x14ac:dyDescent="0.2">
      <c r="A283" s="10" t="str">
        <f>"ENSG00000115457.10"</f>
        <v>ENSG00000115457.10</v>
      </c>
      <c r="B283" s="10">
        <v>1.06888073506781</v>
      </c>
      <c r="C283" s="10">
        <v>3.4280840557549102</v>
      </c>
      <c r="D283" s="10">
        <v>24.2162661312022</v>
      </c>
      <c r="E283" s="10">
        <v>1.0675931860456901E-3</v>
      </c>
      <c r="F283" s="10" t="str">
        <f>"IGFBP2"</f>
        <v>IGFBP2</v>
      </c>
      <c r="G283" s="10" t="str">
        <f t="shared" si="10"/>
        <v>protein_coding</v>
      </c>
      <c r="J283" s="14"/>
    </row>
    <row r="284" spans="1:10" x14ac:dyDescent="0.2">
      <c r="A284" s="10" t="str">
        <f>"ENSG00000284820.1"</f>
        <v>ENSG00000284820.1</v>
      </c>
      <c r="B284" s="10">
        <v>-1.08728047819842</v>
      </c>
      <c r="C284" s="10">
        <v>-0.47677956998008197</v>
      </c>
      <c r="D284" s="10">
        <v>8.1738760540682094</v>
      </c>
      <c r="E284" s="10">
        <v>2.0560278510931E-2</v>
      </c>
      <c r="F284" s="10" t="str">
        <f>"AC068946.2"</f>
        <v>AC068946.2</v>
      </c>
      <c r="G284" s="10" t="str">
        <f t="shared" si="10"/>
        <v>protein_coding</v>
      </c>
      <c r="J284" s="14"/>
    </row>
    <row r="285" spans="1:10" x14ac:dyDescent="0.2">
      <c r="A285" s="10" t="str">
        <f>"ENSG00000127824.14"</f>
        <v>ENSG00000127824.14</v>
      </c>
      <c r="B285" s="10">
        <v>1.49175500438622</v>
      </c>
      <c r="C285" s="10">
        <v>4.79715158255995</v>
      </c>
      <c r="D285" s="10">
        <v>23.538073770242899</v>
      </c>
      <c r="E285" s="10">
        <v>1.22540137748474E-3</v>
      </c>
      <c r="F285" s="10" t="str">
        <f>"TUBA4A"</f>
        <v>TUBA4A</v>
      </c>
      <c r="G285" s="10" t="str">
        <f t="shared" si="10"/>
        <v>protein_coding</v>
      </c>
      <c r="J285" s="14"/>
    </row>
    <row r="286" spans="1:10" x14ac:dyDescent="0.2">
      <c r="A286" s="10" t="str">
        <f>"ENSG00000124003.12"</f>
        <v>ENSG00000124003.12</v>
      </c>
      <c r="B286" s="10">
        <v>-3.2770098867056698</v>
      </c>
      <c r="C286" s="10">
        <v>-2.0355183258270899</v>
      </c>
      <c r="D286" s="10">
        <v>6.0479011071135904</v>
      </c>
      <c r="E286" s="10">
        <v>3.9013090645549302E-2</v>
      </c>
      <c r="F286" s="10" t="str">
        <f>"MOGAT1"</f>
        <v>MOGAT1</v>
      </c>
      <c r="G286" s="10" t="str">
        <f t="shared" si="10"/>
        <v>protein_coding</v>
      </c>
      <c r="J286" s="14"/>
    </row>
    <row r="287" spans="1:10" x14ac:dyDescent="0.2">
      <c r="A287" s="10" t="str">
        <f>"ENSG00000153823.18"</f>
        <v>ENSG00000153823.18</v>
      </c>
      <c r="B287" s="10">
        <v>-2.1491620105097402</v>
      </c>
      <c r="C287" s="10">
        <v>1.3459024755269</v>
      </c>
      <c r="D287" s="10">
        <v>12.028137913415</v>
      </c>
      <c r="E287" s="10">
        <v>8.3056895056664408E-3</v>
      </c>
      <c r="F287" s="10" t="str">
        <f>"PID1"</f>
        <v>PID1</v>
      </c>
      <c r="G287" s="10" t="str">
        <f t="shared" si="10"/>
        <v>protein_coding</v>
      </c>
      <c r="J287" s="14"/>
    </row>
    <row r="288" spans="1:10" x14ac:dyDescent="0.2">
      <c r="A288" s="10" t="str">
        <f>"ENSG00000163273.4"</f>
        <v>ENSG00000163273.4</v>
      </c>
      <c r="B288" s="10">
        <v>-1.6617346741316199</v>
      </c>
      <c r="C288" s="10">
        <v>1.28678212192826</v>
      </c>
      <c r="D288" s="10">
        <v>18.125549301903099</v>
      </c>
      <c r="E288" s="10">
        <v>2.6942113618331999E-3</v>
      </c>
      <c r="F288" s="10" t="str">
        <f>"NPPC"</f>
        <v>NPPC</v>
      </c>
      <c r="G288" s="10" t="str">
        <f t="shared" si="10"/>
        <v>protein_coding</v>
      </c>
      <c r="J288" s="14"/>
    </row>
    <row r="289" spans="1:10" x14ac:dyDescent="0.2">
      <c r="A289" s="10" t="str">
        <f>"ENSG00000163286.9"</f>
        <v>ENSG00000163286.9</v>
      </c>
      <c r="B289" s="10">
        <v>-3.2815907881084598</v>
      </c>
      <c r="C289" s="10">
        <v>1.3425547761072301</v>
      </c>
      <c r="D289" s="10">
        <v>20.7053889415795</v>
      </c>
      <c r="E289" s="10">
        <v>1.8153097533346999E-3</v>
      </c>
      <c r="F289" s="10" t="str">
        <f>"ALPG"</f>
        <v>ALPG</v>
      </c>
      <c r="G289" s="10" t="str">
        <f t="shared" si="10"/>
        <v>protein_coding</v>
      </c>
      <c r="J289" s="14"/>
    </row>
    <row r="290" spans="1:10" x14ac:dyDescent="0.2">
      <c r="A290" s="10" t="str">
        <f>"ENSG00000115468.12"</f>
        <v>ENSG00000115468.12</v>
      </c>
      <c r="B290" s="10">
        <v>-1.87479854483497</v>
      </c>
      <c r="C290" s="10">
        <v>0.88478623167390302</v>
      </c>
      <c r="D290" s="10">
        <v>11.8687000564146</v>
      </c>
      <c r="E290" s="10">
        <v>8.5945530260851805E-3</v>
      </c>
      <c r="F290" s="10" t="str">
        <f>"EFHD1"</f>
        <v>EFHD1</v>
      </c>
      <c r="G290" s="10" t="str">
        <f t="shared" si="10"/>
        <v>protein_coding</v>
      </c>
      <c r="J290" s="14"/>
    </row>
    <row r="291" spans="1:10" x14ac:dyDescent="0.2">
      <c r="A291" s="10" t="str">
        <f>"ENSG00000066248.15"</f>
        <v>ENSG00000066248.15</v>
      </c>
      <c r="B291" s="10">
        <v>1.6567166462194201</v>
      </c>
      <c r="C291" s="10">
        <v>3.4608709434635401</v>
      </c>
      <c r="D291" s="10">
        <v>32.477567469931302</v>
      </c>
      <c r="E291" s="10">
        <v>4.34898220358483E-4</v>
      </c>
      <c r="F291" s="10" t="str">
        <f>"NGEF"</f>
        <v>NGEF</v>
      </c>
      <c r="G291" s="10" t="str">
        <f t="shared" si="10"/>
        <v>protein_coding</v>
      </c>
      <c r="J291" s="14"/>
    </row>
    <row r="292" spans="1:10" x14ac:dyDescent="0.2">
      <c r="A292" s="10" t="str">
        <f>"ENSG00000222001.2"</f>
        <v>ENSG00000222001.2</v>
      </c>
      <c r="B292" s="10">
        <v>2.2936546316611</v>
      </c>
      <c r="C292" s="10">
        <v>0.17133782090081701</v>
      </c>
      <c r="D292" s="10">
        <v>24.012241849668801</v>
      </c>
      <c r="E292" s="10">
        <v>1.1515226779920101E-3</v>
      </c>
      <c r="F292" s="10" t="str">
        <f>"AC106876.1"</f>
        <v>AC106876.1</v>
      </c>
      <c r="G292" s="10" t="str">
        <f>"processed_transcript"</f>
        <v>processed_transcript</v>
      </c>
      <c r="J292" s="14"/>
    </row>
    <row r="293" spans="1:10" x14ac:dyDescent="0.2">
      <c r="A293" s="10" t="str">
        <f>"ENSG00000243135.6"</f>
        <v>ENSG00000243135.6</v>
      </c>
      <c r="B293" s="10">
        <v>2.3569608100221102</v>
      </c>
      <c r="C293" s="10">
        <v>0.159856593067778</v>
      </c>
      <c r="D293" s="10">
        <v>28.197095250878998</v>
      </c>
      <c r="E293" s="10">
        <v>6.9096907621477499E-4</v>
      </c>
      <c r="F293" s="10" t="str">
        <f>"UGT1A3"</f>
        <v>UGT1A3</v>
      </c>
      <c r="G293" s="10" t="str">
        <f>"protein_coding"</f>
        <v>protein_coding</v>
      </c>
      <c r="J293" s="14"/>
    </row>
    <row r="294" spans="1:10" x14ac:dyDescent="0.2">
      <c r="A294" s="10" t="str">
        <f>"ENSG00000241635.7"</f>
        <v>ENSG00000241635.7</v>
      </c>
      <c r="B294" s="10">
        <v>2.1050366519908201</v>
      </c>
      <c r="C294" s="10">
        <v>1.43978944027553</v>
      </c>
      <c r="D294" s="10">
        <v>21.307854146596</v>
      </c>
      <c r="E294" s="10">
        <v>1.6642797735809899E-3</v>
      </c>
      <c r="F294" s="10" t="str">
        <f>"UGT1A1"</f>
        <v>UGT1A1</v>
      </c>
      <c r="G294" s="10" t="str">
        <f>"protein_coding"</f>
        <v>protein_coding</v>
      </c>
      <c r="J294" s="14"/>
    </row>
    <row r="295" spans="1:10" x14ac:dyDescent="0.2">
      <c r="A295" s="10" t="str">
        <f>"ENSG00000144481.17"</f>
        <v>ENSG00000144481.17</v>
      </c>
      <c r="B295" s="10">
        <v>-2.0463172641589198</v>
      </c>
      <c r="C295" s="10">
        <v>-0.69739275681040502</v>
      </c>
      <c r="D295" s="10">
        <v>8.8330293215922193</v>
      </c>
      <c r="E295" s="10">
        <v>1.7571499007416901E-2</v>
      </c>
      <c r="F295" s="10" t="str">
        <f>"TRPM8"</f>
        <v>TRPM8</v>
      </c>
      <c r="G295" s="10" t="str">
        <f>"protein_coding"</f>
        <v>protein_coding</v>
      </c>
      <c r="J295" s="14"/>
    </row>
    <row r="296" spans="1:10" x14ac:dyDescent="0.2">
      <c r="A296" s="10" t="str">
        <f>"ENSG00000234949.2"</f>
        <v>ENSG00000234949.2</v>
      </c>
      <c r="B296" s="10">
        <v>1.48421580951163</v>
      </c>
      <c r="C296" s="10">
        <v>1.2272874808023</v>
      </c>
      <c r="D296" s="10">
        <v>10.758199270665701</v>
      </c>
      <c r="E296" s="10">
        <v>1.09995874647157E-2</v>
      </c>
      <c r="F296" s="10" t="str">
        <f>"AC104667.2"</f>
        <v>AC104667.2</v>
      </c>
      <c r="G296" s="10" t="str">
        <f>"antisense"</f>
        <v>antisense</v>
      </c>
      <c r="J296" s="14"/>
    </row>
    <row r="297" spans="1:10" x14ac:dyDescent="0.2">
      <c r="A297" s="10" t="str">
        <f>"ENSG00000178752.16"</f>
        <v>ENSG00000178752.16</v>
      </c>
      <c r="B297" s="10">
        <v>-1.90506647116679</v>
      </c>
      <c r="C297" s="10">
        <v>-0.79081828694945799</v>
      </c>
      <c r="D297" s="10">
        <v>8.5805238530266799</v>
      </c>
      <c r="E297" s="10">
        <v>1.87674293870429E-2</v>
      </c>
      <c r="F297" s="10" t="str">
        <f>"ERFE"</f>
        <v>ERFE</v>
      </c>
      <c r="G297" s="10" t="str">
        <f>"protein_coding"</f>
        <v>protein_coding</v>
      </c>
      <c r="J297" s="14"/>
    </row>
    <row r="298" spans="1:10" x14ac:dyDescent="0.2">
      <c r="A298" s="10" t="str">
        <f>"ENSG00000186235.10"</f>
        <v>ENSG00000186235.10</v>
      </c>
      <c r="B298" s="10">
        <v>-1.3325032523565301</v>
      </c>
      <c r="C298" s="10">
        <v>-0.12994956743500499</v>
      </c>
      <c r="D298" s="10">
        <v>7.3398812400625397</v>
      </c>
      <c r="E298" s="10">
        <v>2.6392310415207398E-2</v>
      </c>
      <c r="F298" s="10" t="str">
        <f>"LINC02610"</f>
        <v>LINC02610</v>
      </c>
      <c r="G298" s="10" t="str">
        <f>"processed_transcript"</f>
        <v>processed_transcript</v>
      </c>
      <c r="J298" s="14"/>
    </row>
    <row r="299" spans="1:10" x14ac:dyDescent="0.2">
      <c r="A299" s="10" t="str">
        <f>"ENSG00000144485.11"</f>
        <v>ENSG00000144485.11</v>
      </c>
      <c r="B299" s="10">
        <v>-1.1935622016547001</v>
      </c>
      <c r="C299" s="10">
        <v>6.7494610586322104</v>
      </c>
      <c r="D299" s="10">
        <v>8.5585390122413507</v>
      </c>
      <c r="E299" s="10">
        <v>1.88763378095816E-2</v>
      </c>
      <c r="F299" s="10" t="str">
        <f>"HES6"</f>
        <v>HES6</v>
      </c>
      <c r="G299" s="10" t="str">
        <f>"protein_coding"</f>
        <v>protein_coding</v>
      </c>
      <c r="J299" s="14"/>
    </row>
    <row r="300" spans="1:10" x14ac:dyDescent="0.2">
      <c r="A300" s="10" t="str">
        <f>"ENSG00000218416.4"</f>
        <v>ENSG00000218416.4</v>
      </c>
      <c r="B300" s="10">
        <v>-1.23224004374622</v>
      </c>
      <c r="C300" s="10">
        <v>0.32270568810265299</v>
      </c>
      <c r="D300" s="10">
        <v>6.0118370944197403</v>
      </c>
      <c r="E300" s="10">
        <v>3.9464897738151698E-2</v>
      </c>
      <c r="F300" s="10" t="str">
        <f>"AC110619.1"</f>
        <v>AC110619.1</v>
      </c>
      <c r="G300" s="10" t="str">
        <f>"processed_transcript"</f>
        <v>processed_transcript</v>
      </c>
      <c r="J300" s="14"/>
    </row>
    <row r="301" spans="1:10" x14ac:dyDescent="0.2">
      <c r="A301" s="10" t="str">
        <f>"ENSG00000172478.18"</f>
        <v>ENSG00000172478.18</v>
      </c>
      <c r="B301" s="10">
        <v>-1.7826576027427501</v>
      </c>
      <c r="C301" s="10">
        <v>0.29334748003953898</v>
      </c>
      <c r="D301" s="10">
        <v>8.8867742526863704</v>
      </c>
      <c r="E301" s="10">
        <v>1.7329439737622299E-2</v>
      </c>
      <c r="F301" s="10" t="str">
        <f>"MAB21L4"</f>
        <v>MAB21L4</v>
      </c>
      <c r="G301" s="10" t="str">
        <f>"protein_coding"</f>
        <v>protein_coding</v>
      </c>
      <c r="J301" s="14"/>
    </row>
    <row r="302" spans="1:10" x14ac:dyDescent="0.2">
      <c r="A302" s="10" t="str">
        <f>"ENSG00000162804.14"</f>
        <v>ENSG00000162804.14</v>
      </c>
      <c r="B302" s="10">
        <v>-1.38676055579303</v>
      </c>
      <c r="C302" s="10">
        <v>1.8975560671015099</v>
      </c>
      <c r="D302" s="10">
        <v>7.0774799743455601</v>
      </c>
      <c r="E302" s="10">
        <v>2.8481299717509401E-2</v>
      </c>
      <c r="F302" s="10" t="str">
        <f>"SNED1"</f>
        <v>SNED1</v>
      </c>
      <c r="G302" s="10" t="str">
        <f>"protein_coding"</f>
        <v>protein_coding</v>
      </c>
      <c r="J302" s="14"/>
    </row>
    <row r="303" spans="1:10" x14ac:dyDescent="0.2">
      <c r="A303" s="10" t="str">
        <f>"ENSG00000273113.1"</f>
        <v>ENSG00000273113.1</v>
      </c>
      <c r="B303" s="10">
        <v>-3.16343810206279</v>
      </c>
      <c r="C303" s="10">
        <v>-2.0924052532053801</v>
      </c>
      <c r="D303" s="10">
        <v>8.2843793461153794</v>
      </c>
      <c r="E303" s="10">
        <v>2.0303721382254902E-2</v>
      </c>
      <c r="F303" s="10" t="str">
        <f>"AC133528.1"</f>
        <v>AC133528.1</v>
      </c>
      <c r="G303" s="10" t="str">
        <f>"lincRNA"</f>
        <v>lincRNA</v>
      </c>
      <c r="J303" s="14"/>
    </row>
    <row r="304" spans="1:10" x14ac:dyDescent="0.2">
      <c r="A304" s="10" t="str">
        <f>"ENSG00000125046.14"</f>
        <v>ENSG00000125046.14</v>
      </c>
      <c r="B304" s="10">
        <v>1.07087385706455</v>
      </c>
      <c r="C304" s="10">
        <v>6.3713528061704903</v>
      </c>
      <c r="D304" s="10">
        <v>17.514634318102001</v>
      </c>
      <c r="E304" s="10">
        <v>2.9760628253548802E-3</v>
      </c>
      <c r="F304" s="10" t="str">
        <f>"SSUH2"</f>
        <v>SSUH2</v>
      </c>
      <c r="G304" s="10" t="str">
        <f>"protein_coding"</f>
        <v>protein_coding</v>
      </c>
      <c r="J304" s="14"/>
    </row>
    <row r="305" spans="1:10" x14ac:dyDescent="0.2">
      <c r="A305" s="10" t="str">
        <f>"ENSG00000196220.16"</f>
        <v>ENSG00000196220.16</v>
      </c>
      <c r="B305" s="10">
        <v>-1.4782221275977201</v>
      </c>
      <c r="C305" s="10">
        <v>3.0275961415971002</v>
      </c>
      <c r="D305" s="10">
        <v>8.9077314189430901</v>
      </c>
      <c r="E305" s="10">
        <v>1.7236189344625601E-2</v>
      </c>
      <c r="F305" s="10" t="str">
        <f>"SRGAP3"</f>
        <v>SRGAP3</v>
      </c>
      <c r="G305" s="10" t="str">
        <f>"protein_coding"</f>
        <v>protein_coding</v>
      </c>
      <c r="J305" s="14"/>
    </row>
    <row r="306" spans="1:10" x14ac:dyDescent="0.2">
      <c r="A306" s="10" t="str">
        <f>"ENSG00000187288.10"</f>
        <v>ENSG00000187288.10</v>
      </c>
      <c r="B306" s="10">
        <v>3.9379084454531599</v>
      </c>
      <c r="C306" s="10">
        <v>1.91159221765692</v>
      </c>
      <c r="D306" s="10">
        <v>55.414050460903098</v>
      </c>
      <c r="E306" s="13">
        <v>6.85137195426308E-5</v>
      </c>
      <c r="F306" s="10" t="str">
        <f>"CIDEC"</f>
        <v>CIDEC</v>
      </c>
      <c r="G306" s="10" t="str">
        <f>"protein_coding"</f>
        <v>protein_coding</v>
      </c>
      <c r="J306" s="14"/>
    </row>
    <row r="307" spans="1:10" x14ac:dyDescent="0.2">
      <c r="A307" s="10" t="str">
        <f>"ENSG00000134070.5"</f>
        <v>ENSG00000134070.5</v>
      </c>
      <c r="B307" s="10">
        <v>1.03852918667404</v>
      </c>
      <c r="C307" s="10">
        <v>4.0792822785964997</v>
      </c>
      <c r="D307" s="10">
        <v>19.420327815938201</v>
      </c>
      <c r="E307" s="10">
        <v>2.1991574011143299E-3</v>
      </c>
      <c r="F307" s="10" t="str">
        <f>"IRAK2"</f>
        <v>IRAK2</v>
      </c>
      <c r="G307" s="10" t="str">
        <f>"protein_coding"</f>
        <v>protein_coding</v>
      </c>
      <c r="J307" s="14"/>
    </row>
    <row r="308" spans="1:10" x14ac:dyDescent="0.2">
      <c r="A308" s="10" t="str">
        <f>"ENSG00000157087.19"</f>
        <v>ENSG00000157087.19</v>
      </c>
      <c r="B308" s="10">
        <v>-1.86266220967392</v>
      </c>
      <c r="C308" s="10">
        <v>4.2704438288341402</v>
      </c>
      <c r="D308" s="10">
        <v>9.0894038304658693</v>
      </c>
      <c r="E308" s="10">
        <v>1.6453698931466001E-2</v>
      </c>
      <c r="F308" s="10" t="str">
        <f>"ATP2B2"</f>
        <v>ATP2B2</v>
      </c>
      <c r="G308" s="10" t="str">
        <f>"protein_coding"</f>
        <v>protein_coding</v>
      </c>
      <c r="J308" s="14"/>
    </row>
    <row r="309" spans="1:10" x14ac:dyDescent="0.2">
      <c r="A309" s="10" t="str">
        <f>"ENSG00000264534.3"</f>
        <v>ENSG00000264534.3</v>
      </c>
      <c r="B309" s="10">
        <v>-3.0172419132356301</v>
      </c>
      <c r="C309" s="10">
        <v>-2.1585060487332699</v>
      </c>
      <c r="D309" s="10">
        <v>6.4118401143841099</v>
      </c>
      <c r="E309" s="10">
        <v>3.4800904557034398E-2</v>
      </c>
      <c r="F309" s="10" t="str">
        <f>"MIR378B"</f>
        <v>MIR378B</v>
      </c>
      <c r="G309" s="10" t="str">
        <f>"miRNA"</f>
        <v>miRNA</v>
      </c>
      <c r="J309" s="14"/>
    </row>
    <row r="310" spans="1:10" x14ac:dyDescent="0.2">
      <c r="A310" s="10" t="str">
        <f>"ENSG00000132170.21"</f>
        <v>ENSG00000132170.21</v>
      </c>
      <c r="B310" s="10">
        <v>2.2167285685663498</v>
      </c>
      <c r="C310" s="10">
        <v>4.5263167710306398</v>
      </c>
      <c r="D310" s="10">
        <v>7.8287045750622903</v>
      </c>
      <c r="E310" s="10">
        <v>2.2990912082332299E-2</v>
      </c>
      <c r="F310" s="10" t="str">
        <f>"PPARG"</f>
        <v>PPARG</v>
      </c>
      <c r="G310" s="10" t="str">
        <f>"protein_coding"</f>
        <v>protein_coding</v>
      </c>
      <c r="J310" s="14"/>
    </row>
    <row r="311" spans="1:10" x14ac:dyDescent="0.2">
      <c r="A311" s="10" t="str">
        <f>"ENSG00000283392.1"</f>
        <v>ENSG00000283392.1</v>
      </c>
      <c r="B311" s="10">
        <v>-3.1359914191002298</v>
      </c>
      <c r="C311" s="10">
        <v>-2.10492539494251</v>
      </c>
      <c r="D311" s="10">
        <v>6.8554679909263596</v>
      </c>
      <c r="E311" s="10">
        <v>3.0414287443263299E-2</v>
      </c>
      <c r="F311" s="10" t="str">
        <f>"AC090952.2"</f>
        <v>AC090952.2</v>
      </c>
      <c r="G311" s="10" t="str">
        <f>"lincRNA"</f>
        <v>lincRNA</v>
      </c>
      <c r="J311" s="14"/>
    </row>
    <row r="312" spans="1:10" x14ac:dyDescent="0.2">
      <c r="A312" s="10" t="str">
        <f>"ENSG00000230524.8"</f>
        <v>ENSG00000230524.8</v>
      </c>
      <c r="B312" s="10">
        <v>-1.15576656398598</v>
      </c>
      <c r="C312" s="10">
        <v>4.4319740677529702E-2</v>
      </c>
      <c r="D312" s="10">
        <v>7.1541847066913</v>
      </c>
      <c r="E312" s="10">
        <v>2.7849699189215999E-2</v>
      </c>
      <c r="F312" s="10" t="str">
        <f>"COL6A4P1"</f>
        <v>COL6A4P1</v>
      </c>
      <c r="G312" s="10" t="str">
        <f>"transcribed_unprocessed_pseudogene"</f>
        <v>transcribed_unprocessed_pseudogene</v>
      </c>
      <c r="J312" s="14"/>
    </row>
    <row r="313" spans="1:10" x14ac:dyDescent="0.2">
      <c r="A313" s="10" t="str">
        <f>"ENSG00000272529.1"</f>
        <v>ENSG00000272529.1</v>
      </c>
      <c r="B313" s="10">
        <v>1.4689465399559201</v>
      </c>
      <c r="C313" s="10">
        <v>-1.32174328770715</v>
      </c>
      <c r="D313" s="10">
        <v>5.7547055038896104</v>
      </c>
      <c r="E313" s="10">
        <v>4.2587806395497002E-2</v>
      </c>
      <c r="F313" s="10" t="str">
        <f>"AC090948.3"</f>
        <v>AC090948.3</v>
      </c>
      <c r="G313" s="10" t="str">
        <f>"antisense"</f>
        <v>antisense</v>
      </c>
      <c r="J313" s="14"/>
    </row>
    <row r="314" spans="1:10" x14ac:dyDescent="0.2">
      <c r="A314" s="10" t="str">
        <f>"ENSG00000154822.18"</f>
        <v>ENSG00000154822.18</v>
      </c>
      <c r="B314" s="10">
        <v>-1.6581774505897</v>
      </c>
      <c r="C314" s="10">
        <v>2.9185094736969801</v>
      </c>
      <c r="D314" s="10">
        <v>10.6862478369987</v>
      </c>
      <c r="E314" s="10">
        <v>1.1182958029117E-2</v>
      </c>
      <c r="F314" s="10" t="str">
        <f>"PLCL2"</f>
        <v>PLCL2</v>
      </c>
      <c r="G314" s="10" t="str">
        <f>"protein_coding"</f>
        <v>protein_coding</v>
      </c>
      <c r="J314" s="14"/>
    </row>
    <row r="315" spans="1:10" x14ac:dyDescent="0.2">
      <c r="A315" s="10" t="str">
        <f>"ENSG00000274840.4"</f>
        <v>ENSG00000274840.4</v>
      </c>
      <c r="B315" s="10">
        <v>2.5156594222694801</v>
      </c>
      <c r="C315" s="10">
        <v>-2.0750060539670501</v>
      </c>
      <c r="D315" s="10">
        <v>5.4862186446204904</v>
      </c>
      <c r="E315" s="10">
        <v>4.6871669643248598E-2</v>
      </c>
      <c r="F315" s="10" t="str">
        <f>"AC132807.2"</f>
        <v>AC132807.2</v>
      </c>
      <c r="G315" s="10" t="str">
        <f>"lincRNA"</f>
        <v>lincRNA</v>
      </c>
      <c r="J315" s="14"/>
    </row>
    <row r="316" spans="1:10" x14ac:dyDescent="0.2">
      <c r="A316" s="10" t="str">
        <f>"ENSG00000151789.12"</f>
        <v>ENSG00000151789.12</v>
      </c>
      <c r="B316" s="10">
        <v>-1.4891764012277</v>
      </c>
      <c r="C316" s="10">
        <v>-0.76335185542216799</v>
      </c>
      <c r="D316" s="10">
        <v>6.98210140531988</v>
      </c>
      <c r="E316" s="10">
        <v>2.92921266959787E-2</v>
      </c>
      <c r="F316" s="10" t="str">
        <f>"ZNF385D"</f>
        <v>ZNF385D</v>
      </c>
      <c r="G316" s="10" t="str">
        <f>"protein_coding"</f>
        <v>protein_coding</v>
      </c>
      <c r="J316" s="14"/>
    </row>
    <row r="317" spans="1:10" x14ac:dyDescent="0.2">
      <c r="A317" s="10" t="str">
        <f>"ENSG00000163508.12"</f>
        <v>ENSG00000163508.12</v>
      </c>
      <c r="B317" s="10">
        <v>-1.32300766572344</v>
      </c>
      <c r="C317" s="10">
        <v>2.1083186135699101</v>
      </c>
      <c r="D317" s="10">
        <v>18.110080719879502</v>
      </c>
      <c r="E317" s="10">
        <v>2.70092548480887E-3</v>
      </c>
      <c r="F317" s="10" t="str">
        <f>"EOMES"</f>
        <v>EOMES</v>
      </c>
      <c r="G317" s="10" t="str">
        <f>"protein_coding"</f>
        <v>protein_coding</v>
      </c>
      <c r="J317" s="14"/>
    </row>
    <row r="318" spans="1:10" x14ac:dyDescent="0.2">
      <c r="A318" s="10" t="str">
        <f>"ENSG00000144677.15"</f>
        <v>ENSG00000144677.15</v>
      </c>
      <c r="B318" s="10">
        <v>1.1508329492527201</v>
      </c>
      <c r="C318" s="10">
        <v>5.5161166496577696</v>
      </c>
      <c r="D318" s="10">
        <v>20.4704890303681</v>
      </c>
      <c r="E318" s="10">
        <v>1.87881347055327E-3</v>
      </c>
      <c r="F318" s="10" t="str">
        <f>"CTDSPL"</f>
        <v>CTDSPL</v>
      </c>
      <c r="G318" s="10" t="str">
        <f>"protein_coding"</f>
        <v>protein_coding</v>
      </c>
      <c r="J318" s="14"/>
    </row>
    <row r="319" spans="1:10" x14ac:dyDescent="0.2">
      <c r="A319" s="10" t="str">
        <f>"ENSG00000187091.13"</f>
        <v>ENSG00000187091.13</v>
      </c>
      <c r="B319" s="10">
        <v>-1.2153558969904501</v>
      </c>
      <c r="C319" s="10">
        <v>5.6423236079680397</v>
      </c>
      <c r="D319" s="10">
        <v>6.4928706309936803</v>
      </c>
      <c r="E319" s="10">
        <v>3.3942635526921699E-2</v>
      </c>
      <c r="F319" s="10" t="str">
        <f>"PLCD1"</f>
        <v>PLCD1</v>
      </c>
      <c r="G319" s="10" t="str">
        <f>"protein_coding"</f>
        <v>protein_coding</v>
      </c>
      <c r="J319" s="14"/>
    </row>
    <row r="320" spans="1:10" x14ac:dyDescent="0.2">
      <c r="A320" s="10" t="str">
        <f>"ENSG00000168356.11"</f>
        <v>ENSG00000168356.11</v>
      </c>
      <c r="B320" s="10">
        <v>-1.4877514921165</v>
      </c>
      <c r="C320" s="10">
        <v>-0.12023039706814501</v>
      </c>
      <c r="D320" s="10">
        <v>12.4967612125721</v>
      </c>
      <c r="E320" s="10">
        <v>7.3930648157052399E-3</v>
      </c>
      <c r="F320" s="10" t="str">
        <f>"SCN11A"</f>
        <v>SCN11A</v>
      </c>
      <c r="G320" s="10" t="str">
        <f>"protein_coding"</f>
        <v>protein_coding</v>
      </c>
      <c r="J320" s="14"/>
    </row>
    <row r="321" spans="1:10" x14ac:dyDescent="0.2">
      <c r="A321" s="10" t="str">
        <f>"ENSG00000283849.1"</f>
        <v>ENSG00000283849.1</v>
      </c>
      <c r="B321" s="10">
        <v>-2.50894545341216</v>
      </c>
      <c r="C321" s="10">
        <v>-0.48833677449403301</v>
      </c>
      <c r="D321" s="10">
        <v>35.3711671480538</v>
      </c>
      <c r="E321" s="10">
        <v>3.0616291352507098E-4</v>
      </c>
      <c r="F321" s="10" t="str">
        <f>"AC092053.2"</f>
        <v>AC092053.2</v>
      </c>
      <c r="G321" s="10" t="str">
        <f>"antisense"</f>
        <v>antisense</v>
      </c>
      <c r="J321" s="14"/>
    </row>
    <row r="322" spans="1:10" x14ac:dyDescent="0.2">
      <c r="A322" s="10" t="str">
        <f>"ENSG00000280739.2"</f>
        <v>ENSG00000280739.2</v>
      </c>
      <c r="B322" s="10">
        <v>1.18933011335647</v>
      </c>
      <c r="C322" s="10">
        <v>-0.76340616754994195</v>
      </c>
      <c r="D322" s="10">
        <v>5.3834081880401996</v>
      </c>
      <c r="E322" s="10">
        <v>4.8428366836251902E-2</v>
      </c>
      <c r="F322" s="10" t="str">
        <f>"EIF1B-AS1"</f>
        <v>EIF1B-AS1</v>
      </c>
      <c r="G322" s="10" t="str">
        <f>"processed_transcript"</f>
        <v>processed_transcript</v>
      </c>
      <c r="J322" s="14"/>
    </row>
    <row r="323" spans="1:10" x14ac:dyDescent="0.2">
      <c r="A323" s="10" t="str">
        <f>"ENSG00000180432.5"</f>
        <v>ENSG00000180432.5</v>
      </c>
      <c r="B323" s="10">
        <v>1.69884885801125</v>
      </c>
      <c r="C323" s="10">
        <v>0.54513050651689099</v>
      </c>
      <c r="D323" s="10">
        <v>21.7196529116863</v>
      </c>
      <c r="E323" s="10">
        <v>1.5027196134214599E-3</v>
      </c>
      <c r="F323" s="10" t="str">
        <f>"CYP8B1"</f>
        <v>CYP8B1</v>
      </c>
      <c r="G323" s="10" t="str">
        <f t="shared" ref="G323:G330" si="11">"protein_coding"</f>
        <v>protein_coding</v>
      </c>
      <c r="J323" s="14"/>
    </row>
    <row r="324" spans="1:10" x14ac:dyDescent="0.2">
      <c r="A324" s="10" t="str">
        <f>"ENSG00000249992.1"</f>
        <v>ENSG00000249992.1</v>
      </c>
      <c r="B324" s="10">
        <v>-2.9467437474023801</v>
      </c>
      <c r="C324" s="10">
        <v>0.29926637399884798</v>
      </c>
      <c r="D324" s="10">
        <v>45.742423897876499</v>
      </c>
      <c r="E324" s="10">
        <v>1.30999877768124E-4</v>
      </c>
      <c r="F324" s="10" t="str">
        <f>"TMEM158"</f>
        <v>TMEM158</v>
      </c>
      <c r="G324" s="10" t="str">
        <f t="shared" si="11"/>
        <v>protein_coding</v>
      </c>
      <c r="J324" s="14"/>
    </row>
    <row r="325" spans="1:10" x14ac:dyDescent="0.2">
      <c r="A325" s="10" t="str">
        <f>"ENSG00000114646.10"</f>
        <v>ENSG00000114646.10</v>
      </c>
      <c r="B325" s="10">
        <v>-1.9736564169556501</v>
      </c>
      <c r="C325" s="10">
        <v>-1.47952323203284</v>
      </c>
      <c r="D325" s="10">
        <v>8.9633302663297592</v>
      </c>
      <c r="E325" s="10">
        <v>1.6671013668483298E-2</v>
      </c>
      <c r="F325" s="10" t="str">
        <f>"CSPG5"</f>
        <v>CSPG5</v>
      </c>
      <c r="G325" s="10" t="str">
        <f t="shared" si="11"/>
        <v>protein_coding</v>
      </c>
      <c r="J325" s="14"/>
    </row>
    <row r="326" spans="1:10" x14ac:dyDescent="0.2">
      <c r="A326" s="10" t="str">
        <f>"ENSG00000185614.5"</f>
        <v>ENSG00000185614.5</v>
      </c>
      <c r="B326" s="10">
        <v>-1.5864545578906899</v>
      </c>
      <c r="C326" s="10">
        <v>1.1595330587997399</v>
      </c>
      <c r="D326" s="10">
        <v>6.7316463748116</v>
      </c>
      <c r="E326" s="10">
        <v>3.1564593109339699E-2</v>
      </c>
      <c r="F326" s="10" t="str">
        <f>"INKA1"</f>
        <v>INKA1</v>
      </c>
      <c r="G326" s="10" t="str">
        <f t="shared" si="11"/>
        <v>protein_coding</v>
      </c>
      <c r="J326" s="14"/>
    </row>
    <row r="327" spans="1:10" x14ac:dyDescent="0.2">
      <c r="A327" s="10" t="str">
        <f>"ENSG00000179564.4"</f>
        <v>ENSG00000179564.4</v>
      </c>
      <c r="B327" s="10">
        <v>1.74233537763711</v>
      </c>
      <c r="C327" s="10">
        <v>-1.7331104633608301</v>
      </c>
      <c r="D327" s="10">
        <v>6.3285647974161199</v>
      </c>
      <c r="E327" s="10">
        <v>3.5255765115611001E-2</v>
      </c>
      <c r="F327" s="10" t="str">
        <f>"LSMEM2"</f>
        <v>LSMEM2</v>
      </c>
      <c r="G327" s="10" t="str">
        <f t="shared" si="11"/>
        <v>protein_coding</v>
      </c>
      <c r="J327" s="14"/>
    </row>
    <row r="328" spans="1:10" x14ac:dyDescent="0.2">
      <c r="A328" s="10" t="str">
        <f>"ENSG00000007402.11"</f>
        <v>ENSG00000007402.11</v>
      </c>
      <c r="B328" s="10">
        <v>-1.8018121632502999</v>
      </c>
      <c r="C328" s="10">
        <v>-0.39609003672619197</v>
      </c>
      <c r="D328" s="10">
        <v>8.8270722768295204</v>
      </c>
      <c r="E328" s="10">
        <v>1.7598589836040499E-2</v>
      </c>
      <c r="F328" s="10" t="str">
        <f>"CACNA2D2"</f>
        <v>CACNA2D2</v>
      </c>
      <c r="G328" s="10" t="str">
        <f t="shared" si="11"/>
        <v>protein_coding</v>
      </c>
      <c r="J328" s="14"/>
    </row>
    <row r="329" spans="1:10" x14ac:dyDescent="0.2">
      <c r="A329" s="10" t="str">
        <f>"ENSG00000010327.10"</f>
        <v>ENSG00000010327.10</v>
      </c>
      <c r="B329" s="10">
        <v>-1.2513648971998399</v>
      </c>
      <c r="C329" s="10">
        <v>0.82421833877069595</v>
      </c>
      <c r="D329" s="10">
        <v>8.4867978702566607</v>
      </c>
      <c r="E329" s="10">
        <v>1.9237307996302001E-2</v>
      </c>
      <c r="F329" s="10" t="str">
        <f>"STAB1"</f>
        <v>STAB1</v>
      </c>
      <c r="G329" s="10" t="str">
        <f t="shared" si="11"/>
        <v>protein_coding</v>
      </c>
      <c r="J329" s="14"/>
    </row>
    <row r="330" spans="1:10" x14ac:dyDescent="0.2">
      <c r="A330" s="10" t="str">
        <f>"ENSG00000162267.12"</f>
        <v>ENSG00000162267.12</v>
      </c>
      <c r="B330" s="10">
        <v>2.8745672334863102</v>
      </c>
      <c r="C330" s="10">
        <v>7.4657876538791399</v>
      </c>
      <c r="D330" s="10">
        <v>18.665825002450202</v>
      </c>
      <c r="E330" s="10">
        <v>2.47225483505881E-3</v>
      </c>
      <c r="F330" s="10" t="str">
        <f>"ITIH3"</f>
        <v>ITIH3</v>
      </c>
      <c r="G330" s="10" t="str">
        <f t="shared" si="11"/>
        <v>protein_coding</v>
      </c>
      <c r="J330" s="14"/>
    </row>
    <row r="331" spans="1:10" x14ac:dyDescent="0.2">
      <c r="A331" s="10" t="str">
        <f>"ENSG00000271916.1"</f>
        <v>ENSG00000271916.1</v>
      </c>
      <c r="B331" s="10">
        <v>2.1351415626490202</v>
      </c>
      <c r="C331" s="10">
        <v>-1.5263628108092899</v>
      </c>
      <c r="D331" s="10">
        <v>12.797876954414599</v>
      </c>
      <c r="E331" s="10">
        <v>6.8776454164852802E-3</v>
      </c>
      <c r="F331" s="10" t="str">
        <f>"AC012467.1"</f>
        <v>AC012467.1</v>
      </c>
      <c r="G331" s="10" t="str">
        <f>"antisense"</f>
        <v>antisense</v>
      </c>
      <c r="J331" s="14"/>
    </row>
    <row r="332" spans="1:10" x14ac:dyDescent="0.2">
      <c r="A332" s="10" t="str">
        <f>"ENSG00000168306.13"</f>
        <v>ENSG00000168306.13</v>
      </c>
      <c r="B332" s="10">
        <v>1.06068066809957</v>
      </c>
      <c r="C332" s="10">
        <v>4.3720789188798799</v>
      </c>
      <c r="D332" s="10">
        <v>10.106570555092</v>
      </c>
      <c r="E332" s="10">
        <v>1.28096536701042E-2</v>
      </c>
      <c r="F332" s="10" t="str">
        <f>"ACOX2"</f>
        <v>ACOX2</v>
      </c>
      <c r="G332" s="10" t="str">
        <f>"protein_coding"</f>
        <v>protein_coding</v>
      </c>
      <c r="J332" s="14"/>
    </row>
    <row r="333" spans="1:10" x14ac:dyDescent="0.2">
      <c r="A333" s="10" t="str">
        <f>"ENSG00000189283.10"</f>
        <v>ENSG00000189283.10</v>
      </c>
      <c r="B333" s="10">
        <v>1.0349265584653</v>
      </c>
      <c r="C333" s="10">
        <v>1.1578156998704601</v>
      </c>
      <c r="D333" s="10">
        <v>5.6574923170788303</v>
      </c>
      <c r="E333" s="10">
        <v>4.4277806749173497E-2</v>
      </c>
      <c r="F333" s="10" t="str">
        <f>"FHIT"</f>
        <v>FHIT</v>
      </c>
      <c r="G333" s="10" t="str">
        <f>"protein_coding"</f>
        <v>protein_coding</v>
      </c>
      <c r="J333" s="14"/>
    </row>
    <row r="334" spans="1:10" x14ac:dyDescent="0.2">
      <c r="A334" s="10" t="str">
        <f>"ENSG00000163637.13"</f>
        <v>ENSG00000163637.13</v>
      </c>
      <c r="B334" s="10">
        <v>-1.7861619850066399</v>
      </c>
      <c r="C334" s="10">
        <v>0.75547421548961202</v>
      </c>
      <c r="D334" s="10">
        <v>8.0846294320734007</v>
      </c>
      <c r="E334" s="10">
        <v>2.14300965691432E-2</v>
      </c>
      <c r="F334" s="10" t="str">
        <f>"PRICKLE2"</f>
        <v>PRICKLE2</v>
      </c>
      <c r="G334" s="10" t="str">
        <f>"protein_coding"</f>
        <v>protein_coding</v>
      </c>
      <c r="J334" s="14"/>
    </row>
    <row r="335" spans="1:10" x14ac:dyDescent="0.2">
      <c r="A335" s="10" t="str">
        <f>"ENSG00000270059.1"</f>
        <v>ENSG00000270059.1</v>
      </c>
      <c r="B335" s="10">
        <v>1.4800135091714399</v>
      </c>
      <c r="C335" s="10">
        <v>-1.31774868879119</v>
      </c>
      <c r="D335" s="10">
        <v>6.0141667004757897</v>
      </c>
      <c r="E335" s="10">
        <v>3.90863120244965E-2</v>
      </c>
      <c r="F335" s="10" t="str">
        <f>"AC121493.1"</f>
        <v>AC121493.1</v>
      </c>
      <c r="G335" s="10" t="str">
        <f>"sense_intronic"</f>
        <v>sense_intronic</v>
      </c>
      <c r="J335" s="14"/>
    </row>
    <row r="336" spans="1:10" x14ac:dyDescent="0.2">
      <c r="A336" s="10" t="str">
        <f>"ENSG00000272610.1"</f>
        <v>ENSG00000272610.1</v>
      </c>
      <c r="B336" s="10">
        <v>1.24145014026087</v>
      </c>
      <c r="C336" s="10">
        <v>0.29980652426288801</v>
      </c>
      <c r="D336" s="10">
        <v>12.6596513060795</v>
      </c>
      <c r="E336" s="10">
        <v>7.0781247536765802E-3</v>
      </c>
      <c r="F336" s="10" t="str">
        <f>"MAGI1-IT1"</f>
        <v>MAGI1-IT1</v>
      </c>
      <c r="G336" s="10" t="str">
        <f>"sense_intronic"</f>
        <v>sense_intronic</v>
      </c>
      <c r="J336" s="14"/>
    </row>
    <row r="337" spans="1:10" x14ac:dyDescent="0.2">
      <c r="A337" s="10" t="str">
        <f>"ENSG00000243083.6"</f>
        <v>ENSG00000243083.6</v>
      </c>
      <c r="B337" s="10">
        <v>2.4652329296799</v>
      </c>
      <c r="C337" s="10">
        <v>-0.248470250245374</v>
      </c>
      <c r="D337" s="10">
        <v>11.980073864788499</v>
      </c>
      <c r="E337" s="10">
        <v>8.3914712018899607E-3</v>
      </c>
      <c r="F337" s="10" t="str">
        <f>"LINC00870"</f>
        <v>LINC00870</v>
      </c>
      <c r="G337" s="10" t="str">
        <f>"lincRNA"</f>
        <v>lincRNA</v>
      </c>
      <c r="J337" s="14"/>
    </row>
    <row r="338" spans="1:10" x14ac:dyDescent="0.2">
      <c r="A338" s="10" t="str">
        <f>"ENSG00000121440.15"</f>
        <v>ENSG00000121440.15</v>
      </c>
      <c r="B338" s="10">
        <v>-1.95148080998262</v>
      </c>
      <c r="C338" s="10">
        <v>-0.29419395141563598</v>
      </c>
      <c r="D338" s="10">
        <v>13.5342275686103</v>
      </c>
      <c r="E338" s="10">
        <v>6.0970184283853498E-3</v>
      </c>
      <c r="F338" s="10" t="str">
        <f>"PDZRN3"</f>
        <v>PDZRN3</v>
      </c>
      <c r="G338" s="10" t="str">
        <f>"protein_coding"</f>
        <v>protein_coding</v>
      </c>
      <c r="J338" s="14"/>
    </row>
    <row r="339" spans="1:10" x14ac:dyDescent="0.2">
      <c r="A339" s="10" t="str">
        <f>"ENSG00000242741.1"</f>
        <v>ENSG00000242741.1</v>
      </c>
      <c r="B339" s="10">
        <v>-1.5492509122425899</v>
      </c>
      <c r="C339" s="10">
        <v>0.79123196468596602</v>
      </c>
      <c r="D339" s="10">
        <v>8.9729024170096991</v>
      </c>
      <c r="E339" s="10">
        <v>1.6950211282971101E-2</v>
      </c>
      <c r="F339" s="10" t="str">
        <f>"LINC02005"</f>
        <v>LINC02005</v>
      </c>
      <c r="G339" s="10" t="str">
        <f>"lincRNA"</f>
        <v>lincRNA</v>
      </c>
      <c r="J339" s="14"/>
    </row>
    <row r="340" spans="1:10" x14ac:dyDescent="0.2">
      <c r="A340" s="10" t="str">
        <f>"ENSG00000185008.17"</f>
        <v>ENSG00000185008.17</v>
      </c>
      <c r="B340" s="10">
        <v>-2.1611823482058599</v>
      </c>
      <c r="C340" s="10">
        <v>-1.59037162292887</v>
      </c>
      <c r="D340" s="10">
        <v>7.4188385029397201</v>
      </c>
      <c r="E340" s="10">
        <v>2.58018556708642E-2</v>
      </c>
      <c r="F340" s="10" t="str">
        <f>"ROBO2"</f>
        <v>ROBO2</v>
      </c>
      <c r="G340" s="10" t="str">
        <f>"protein_coding"</f>
        <v>protein_coding</v>
      </c>
      <c r="J340" s="14"/>
    </row>
    <row r="341" spans="1:10" x14ac:dyDescent="0.2">
      <c r="A341" s="10" t="str">
        <f>"ENSG00000240241.5"</f>
        <v>ENSG00000240241.5</v>
      </c>
      <c r="B341" s="10">
        <v>-2.0941712469141498</v>
      </c>
      <c r="C341" s="10">
        <v>1.2568443644392799</v>
      </c>
      <c r="D341" s="10">
        <v>9.2506602345345499</v>
      </c>
      <c r="E341" s="10">
        <v>1.57962307442427E-2</v>
      </c>
      <c r="F341" s="10" t="str">
        <f>"AC108752.1"</f>
        <v>AC108752.1</v>
      </c>
      <c r="G341" s="10" t="str">
        <f>"lincRNA"</f>
        <v>lincRNA</v>
      </c>
      <c r="J341" s="14"/>
    </row>
    <row r="342" spans="1:10" x14ac:dyDescent="0.2">
      <c r="A342" s="10" t="str">
        <f>"ENSG00000064225.12"</f>
        <v>ENSG00000064225.12</v>
      </c>
      <c r="B342" s="10">
        <v>1.3649591009448601</v>
      </c>
      <c r="C342" s="10">
        <v>3.9905177376399901</v>
      </c>
      <c r="D342" s="10">
        <v>22.3812413334072</v>
      </c>
      <c r="E342" s="10">
        <v>1.4321006260119801E-3</v>
      </c>
      <c r="F342" s="10" t="str">
        <f>"ST3GAL6"</f>
        <v>ST3GAL6</v>
      </c>
      <c r="G342" s="10" t="str">
        <f>"protein_coding"</f>
        <v>protein_coding</v>
      </c>
      <c r="J342" s="14"/>
    </row>
    <row r="343" spans="1:10" x14ac:dyDescent="0.2">
      <c r="A343" s="10" t="str">
        <f>"ENSG00000057019.16"</f>
        <v>ENSG00000057019.16</v>
      </c>
      <c r="B343" s="10">
        <v>1.1343119815253699</v>
      </c>
      <c r="C343" s="10">
        <v>8.8205387048591302</v>
      </c>
      <c r="D343" s="10">
        <v>25.5598512837973</v>
      </c>
      <c r="E343" s="10">
        <v>8.9867811837772904E-4</v>
      </c>
      <c r="F343" s="10" t="str">
        <f>"DCBLD2"</f>
        <v>DCBLD2</v>
      </c>
      <c r="G343" s="10" t="str">
        <f>"protein_coding"</f>
        <v>protein_coding</v>
      </c>
      <c r="J343" s="14"/>
    </row>
    <row r="344" spans="1:10" x14ac:dyDescent="0.2">
      <c r="A344" s="10" t="str">
        <f>"ENSG00000206712.1"</f>
        <v>ENSG00000206712.1</v>
      </c>
      <c r="B344" s="10">
        <v>2.06228473348621</v>
      </c>
      <c r="C344" s="10">
        <v>0.22806969785051801</v>
      </c>
      <c r="D344" s="10">
        <v>14.268697462103001</v>
      </c>
      <c r="E344" s="10">
        <v>5.2876046754208404E-3</v>
      </c>
      <c r="F344" s="10" t="str">
        <f>"RNU6-26P"</f>
        <v>RNU6-26P</v>
      </c>
      <c r="G344" s="10" t="str">
        <f>"snRNA"</f>
        <v>snRNA</v>
      </c>
      <c r="J344" s="14"/>
    </row>
    <row r="345" spans="1:10" x14ac:dyDescent="0.2">
      <c r="A345" s="10" t="str">
        <f>"ENSG00000239462.1"</f>
        <v>ENSG00000239462.1</v>
      </c>
      <c r="B345" s="10">
        <v>2.52544234936336</v>
      </c>
      <c r="C345" s="10">
        <v>-1.77078745745468</v>
      </c>
      <c r="D345" s="10">
        <v>13.2760485790683</v>
      </c>
      <c r="E345" s="10">
        <v>6.2365900563314796E-3</v>
      </c>
      <c r="F345" s="10" t="str">
        <f>"AC091212.1"</f>
        <v>AC091212.1</v>
      </c>
      <c r="G345" s="10" t="str">
        <f>"antisense"</f>
        <v>antisense</v>
      </c>
      <c r="J345" s="14"/>
    </row>
    <row r="346" spans="1:10" x14ac:dyDescent="0.2">
      <c r="A346" s="10" t="str">
        <f>"ENSG00000240476.1"</f>
        <v>ENSG00000240476.1</v>
      </c>
      <c r="B346" s="10">
        <v>2.1324516635972901</v>
      </c>
      <c r="C346" s="10">
        <v>2.9788413222216001</v>
      </c>
      <c r="D346" s="10">
        <v>85.964886109142498</v>
      </c>
      <c r="E346" s="13">
        <v>1.22528108085112E-5</v>
      </c>
      <c r="F346" s="10" t="str">
        <f>"LINC00973"</f>
        <v>LINC00973</v>
      </c>
      <c r="G346" s="10" t="str">
        <f>"lincRNA"</f>
        <v>lincRNA</v>
      </c>
      <c r="J346" s="14"/>
    </row>
    <row r="347" spans="1:10" x14ac:dyDescent="0.2">
      <c r="A347" s="10" t="str">
        <f>"ENSG00000168386.18"</f>
        <v>ENSG00000168386.18</v>
      </c>
      <c r="B347" s="10">
        <v>1.4512321041004099</v>
      </c>
      <c r="C347" s="10">
        <v>6.8243352800463901</v>
      </c>
      <c r="D347" s="10">
        <v>7.2034380574311401</v>
      </c>
      <c r="E347" s="10">
        <v>2.7453448121438101E-2</v>
      </c>
      <c r="F347" s="10" t="str">
        <f>"FILIP1L"</f>
        <v>FILIP1L</v>
      </c>
      <c r="G347" s="10" t="str">
        <f>"protein_coding"</f>
        <v>protein_coding</v>
      </c>
      <c r="J347" s="14"/>
    </row>
    <row r="348" spans="1:10" x14ac:dyDescent="0.2">
      <c r="A348" s="10" t="str">
        <f>"ENSG00000206535.8"</f>
        <v>ENSG00000206535.8</v>
      </c>
      <c r="B348" s="10">
        <v>2.4653062543258799</v>
      </c>
      <c r="C348" s="10">
        <v>0.79334178431351898</v>
      </c>
      <c r="D348" s="10">
        <v>25.417001300768799</v>
      </c>
      <c r="E348" s="10">
        <v>9.6301500998561098E-4</v>
      </c>
      <c r="F348" s="10" t="str">
        <f>"LNP1"</f>
        <v>LNP1</v>
      </c>
      <c r="G348" s="10" t="str">
        <f>"protein_coding"</f>
        <v>protein_coding</v>
      </c>
      <c r="J348" s="14"/>
    </row>
    <row r="349" spans="1:10" x14ac:dyDescent="0.2">
      <c r="A349" s="10" t="str">
        <f>"ENSG00000114391.13"</f>
        <v>ENSG00000114391.13</v>
      </c>
      <c r="B349" s="10">
        <v>1.2289176525030401</v>
      </c>
      <c r="C349" s="10">
        <v>8.3161393688014105</v>
      </c>
      <c r="D349" s="10">
        <v>6.95133590250797</v>
      </c>
      <c r="E349" s="10">
        <v>2.9559875922512101E-2</v>
      </c>
      <c r="F349" s="10" t="str">
        <f>"RPL24"</f>
        <v>RPL24</v>
      </c>
      <c r="G349" s="10" t="str">
        <f>"protein_coding"</f>
        <v>protein_coding</v>
      </c>
      <c r="J349" s="14"/>
    </row>
    <row r="350" spans="1:10" x14ac:dyDescent="0.2">
      <c r="A350" s="10" t="str">
        <f>"ENSG00000244119.1"</f>
        <v>ENSG00000244119.1</v>
      </c>
      <c r="B350" s="10">
        <v>-1.7042209688777099</v>
      </c>
      <c r="C350" s="10">
        <v>-0.82028379369191295</v>
      </c>
      <c r="D350" s="10">
        <v>8.6841508002261296</v>
      </c>
      <c r="E350" s="10">
        <v>1.82646022164435E-2</v>
      </c>
      <c r="F350" s="10" t="str">
        <f>"PDCL3P4"</f>
        <v>PDCL3P4</v>
      </c>
      <c r="G350" s="10" t="str">
        <f>"processed_pseudogene"</f>
        <v>processed_pseudogene</v>
      </c>
      <c r="J350" s="14"/>
    </row>
    <row r="351" spans="1:10" x14ac:dyDescent="0.2">
      <c r="A351" s="10" t="str">
        <f>"ENSG00000243701.6"</f>
        <v>ENSG00000243701.6</v>
      </c>
      <c r="B351" s="10">
        <v>-1.2498824224687599</v>
      </c>
      <c r="C351" s="10">
        <v>1.0290923449464</v>
      </c>
      <c r="D351" s="10">
        <v>6.6526073103794499</v>
      </c>
      <c r="E351" s="10">
        <v>3.2327725419247201E-2</v>
      </c>
      <c r="F351" s="10" t="str">
        <f>"DUBR"</f>
        <v>DUBR</v>
      </c>
      <c r="G351" s="10" t="str">
        <f>"lincRNA"</f>
        <v>lincRNA</v>
      </c>
      <c r="J351" s="14"/>
    </row>
    <row r="352" spans="1:10" x14ac:dyDescent="0.2">
      <c r="A352" s="10" t="str">
        <f>"ENSG00000241634.1"</f>
        <v>ENSG00000241634.1</v>
      </c>
      <c r="B352" s="10">
        <v>-1.65914291109219</v>
      </c>
      <c r="C352" s="10">
        <v>-0.354007678906959</v>
      </c>
      <c r="D352" s="10">
        <v>5.3577135833671399</v>
      </c>
      <c r="E352" s="10">
        <v>4.8945782836899702E-2</v>
      </c>
      <c r="F352" s="10" t="str">
        <f>"AC069499.1"</f>
        <v>AC069499.1</v>
      </c>
      <c r="G352" s="10" t="str">
        <f>"processed_pseudogene"</f>
        <v>processed_pseudogene</v>
      </c>
      <c r="J352" s="14"/>
    </row>
    <row r="353" spans="1:10" x14ac:dyDescent="0.2">
      <c r="A353" s="10" t="str">
        <f>"ENSG00000206532.2"</f>
        <v>ENSG00000206532.2</v>
      </c>
      <c r="B353" s="10">
        <v>1.48770027841973</v>
      </c>
      <c r="C353" s="10">
        <v>2.65709660865592</v>
      </c>
      <c r="D353" s="10">
        <v>38.089949975570697</v>
      </c>
      <c r="E353" s="10">
        <v>2.3739897564335901E-4</v>
      </c>
      <c r="F353" s="10" t="str">
        <f>"AC117402.1"</f>
        <v>AC117402.1</v>
      </c>
      <c r="G353" s="10" t="str">
        <f>"lincRNA"</f>
        <v>lincRNA</v>
      </c>
      <c r="J353" s="14"/>
    </row>
    <row r="354" spans="1:10" x14ac:dyDescent="0.2">
      <c r="A354" s="10" t="str">
        <f>"ENSG00000242242.5"</f>
        <v>ENSG00000242242.5</v>
      </c>
      <c r="B354" s="10">
        <v>1.2191460904808</v>
      </c>
      <c r="C354" s="10">
        <v>0.78636685978750298</v>
      </c>
      <c r="D354" s="10">
        <v>8.6889635950892306</v>
      </c>
      <c r="E354" s="10">
        <v>1.8241663687424001E-2</v>
      </c>
      <c r="F354" s="10" t="str">
        <f>"NECTIN3-AS1"</f>
        <v>NECTIN3-AS1</v>
      </c>
      <c r="G354" s="10" t="str">
        <f>"antisense"</f>
        <v>antisense</v>
      </c>
      <c r="J354" s="14"/>
    </row>
    <row r="355" spans="1:10" x14ac:dyDescent="0.2">
      <c r="A355" s="10" t="str">
        <f>"ENSG00000241889.1"</f>
        <v>ENSG00000241889.1</v>
      </c>
      <c r="B355" s="10">
        <v>-2.3533235541306601</v>
      </c>
      <c r="C355" s="10">
        <v>-2.0396451991486702</v>
      </c>
      <c r="D355" s="10">
        <v>7.34167113310723</v>
      </c>
      <c r="E355" s="10">
        <v>2.5979351107682701E-2</v>
      </c>
      <c r="F355" s="10" t="str">
        <f>"AC079944.2"</f>
        <v>AC079944.2</v>
      </c>
      <c r="G355" s="10" t="str">
        <f>"processed_pseudogene"</f>
        <v>processed_pseudogene</v>
      </c>
      <c r="J355" s="14"/>
    </row>
    <row r="356" spans="1:10" x14ac:dyDescent="0.2">
      <c r="A356" s="10" t="str">
        <f>"ENSG00000031081.10"</f>
        <v>ENSG00000031081.10</v>
      </c>
      <c r="B356" s="10">
        <v>-1.3681385325839399</v>
      </c>
      <c r="C356" s="10">
        <v>6.3684188240506395E-2</v>
      </c>
      <c r="D356" s="10">
        <v>6.7667571173861996</v>
      </c>
      <c r="E356" s="10">
        <v>3.1232906332517098E-2</v>
      </c>
      <c r="F356" s="10" t="str">
        <f>"ARHGAP31"</f>
        <v>ARHGAP31</v>
      </c>
      <c r="G356" s="10" t="str">
        <f>"protein_coding"</f>
        <v>protein_coding</v>
      </c>
      <c r="J356" s="14"/>
    </row>
    <row r="357" spans="1:10" x14ac:dyDescent="0.2">
      <c r="A357" s="10" t="str">
        <f>"ENSG00000144852.17"</f>
        <v>ENSG00000144852.17</v>
      </c>
      <c r="B357" s="10">
        <v>1.1755495785460299</v>
      </c>
      <c r="C357" s="10">
        <v>4.5524955172366299</v>
      </c>
      <c r="D357" s="10">
        <v>39.476790402863898</v>
      </c>
      <c r="E357" s="10">
        <v>2.0972859866247401E-4</v>
      </c>
      <c r="F357" s="10" t="str">
        <f>"NR1I2"</f>
        <v>NR1I2</v>
      </c>
      <c r="G357" s="10" t="str">
        <f>"protein_coding"</f>
        <v>protein_coding</v>
      </c>
      <c r="J357" s="14"/>
    </row>
    <row r="358" spans="1:10" x14ac:dyDescent="0.2">
      <c r="A358" s="10" t="str">
        <f>"ENSG00000163430.12"</f>
        <v>ENSG00000163430.12</v>
      </c>
      <c r="B358" s="10">
        <v>-1.24516606895078</v>
      </c>
      <c r="C358" s="10">
        <v>-6.1779888526837801E-2</v>
      </c>
      <c r="D358" s="10">
        <v>9.4214665250201293</v>
      </c>
      <c r="E358" s="10">
        <v>1.48999258046005E-2</v>
      </c>
      <c r="F358" s="10" t="str">
        <f>"FSTL1"</f>
        <v>FSTL1</v>
      </c>
      <c r="G358" s="10" t="str">
        <f>"protein_coding"</f>
        <v>protein_coding</v>
      </c>
      <c r="J358" s="14"/>
    </row>
    <row r="359" spans="1:10" x14ac:dyDescent="0.2">
      <c r="A359" s="10" t="str">
        <f>"ENSG00000121552.4"</f>
        <v>ENSG00000121552.4</v>
      </c>
      <c r="B359" s="10">
        <v>-1.6944831724618299</v>
      </c>
      <c r="C359" s="10">
        <v>7.6991241699029596</v>
      </c>
      <c r="D359" s="10">
        <v>13.1151945183053</v>
      </c>
      <c r="E359" s="10">
        <v>6.62873693520428E-3</v>
      </c>
      <c r="F359" s="10" t="str">
        <f>"CSTA"</f>
        <v>CSTA</v>
      </c>
      <c r="G359" s="10" t="str">
        <f>"protein_coding"</f>
        <v>protein_coding</v>
      </c>
      <c r="J359" s="14"/>
    </row>
    <row r="360" spans="1:10" x14ac:dyDescent="0.2">
      <c r="A360" s="10" t="str">
        <f>"ENSG00000273033.2"</f>
        <v>ENSG00000273033.2</v>
      </c>
      <c r="B360" s="10">
        <v>-1.04737601911425</v>
      </c>
      <c r="C360" s="10">
        <v>2.3239427181715802</v>
      </c>
      <c r="D360" s="10">
        <v>12.3103992620018</v>
      </c>
      <c r="E360" s="10">
        <v>7.8235082195271394E-3</v>
      </c>
      <c r="F360" s="10" t="str">
        <f>"LINC02035"</f>
        <v>LINC02035</v>
      </c>
      <c r="G360" s="10" t="str">
        <f>"lincRNA"</f>
        <v>lincRNA</v>
      </c>
      <c r="J360" s="14"/>
    </row>
    <row r="361" spans="1:10" x14ac:dyDescent="0.2">
      <c r="A361" s="10" t="str">
        <f>"ENSG00000173175.14"</f>
        <v>ENSG00000173175.14</v>
      </c>
      <c r="B361" s="10">
        <v>-1.6341092353014901</v>
      </c>
      <c r="C361" s="10">
        <v>-0.22430208371626201</v>
      </c>
      <c r="D361" s="10">
        <v>8.5026848083809003</v>
      </c>
      <c r="E361" s="10">
        <v>1.91566278524356E-2</v>
      </c>
      <c r="F361" s="10" t="str">
        <f>"ADCY5"</f>
        <v>ADCY5</v>
      </c>
      <c r="G361" s="10" t="str">
        <f>"protein_coding"</f>
        <v>protein_coding</v>
      </c>
      <c r="J361" s="14"/>
    </row>
    <row r="362" spans="1:10" x14ac:dyDescent="0.2">
      <c r="A362" s="10" t="str">
        <f>"ENSG00000173702.7"</f>
        <v>ENSG00000173702.7</v>
      </c>
      <c r="B362" s="10">
        <v>1.3886063042049199</v>
      </c>
      <c r="C362" s="10">
        <v>3.88213601616927</v>
      </c>
      <c r="D362" s="10">
        <v>5.8197541439516698</v>
      </c>
      <c r="E362" s="10">
        <v>4.1986430043003398E-2</v>
      </c>
      <c r="F362" s="10" t="str">
        <f>"MUC13"</f>
        <v>MUC13</v>
      </c>
      <c r="G362" s="10" t="str">
        <f>"protein_coding"</f>
        <v>protein_coding</v>
      </c>
      <c r="J362" s="14"/>
    </row>
    <row r="363" spans="1:10" x14ac:dyDescent="0.2">
      <c r="A363" s="10" t="str">
        <f>"ENSG00000221955.10"</f>
        <v>ENSG00000221955.10</v>
      </c>
      <c r="B363" s="10">
        <v>-1.03394319744106</v>
      </c>
      <c r="C363" s="10">
        <v>1.2315972377104401</v>
      </c>
      <c r="D363" s="10">
        <v>5.9599251113846696</v>
      </c>
      <c r="E363" s="10">
        <v>4.0126965946530001E-2</v>
      </c>
      <c r="F363" s="10" t="str">
        <f>"SLC12A8"</f>
        <v>SLC12A8</v>
      </c>
      <c r="G363" s="10" t="str">
        <f>"protein_coding"</f>
        <v>protein_coding</v>
      </c>
      <c r="J363" s="14"/>
    </row>
    <row r="364" spans="1:10" x14ac:dyDescent="0.2">
      <c r="A364" s="10" t="str">
        <f>"ENSG00000229048.5"</f>
        <v>ENSG00000229048.5</v>
      </c>
      <c r="B364" s="10">
        <v>-2.3416648007525098</v>
      </c>
      <c r="C364" s="10">
        <v>-1.4863761358040599</v>
      </c>
      <c r="D364" s="10">
        <v>7.5141981061815599</v>
      </c>
      <c r="E364" s="10">
        <v>2.51107851981138E-2</v>
      </c>
      <c r="F364" s="10" t="str">
        <f>"DUTP1"</f>
        <v>DUTP1</v>
      </c>
      <c r="G364" s="10" t="str">
        <f>"processed_pseudogene"</f>
        <v>processed_pseudogene</v>
      </c>
      <c r="J364" s="14"/>
    </row>
    <row r="365" spans="1:10" x14ac:dyDescent="0.2">
      <c r="A365" s="10" t="str">
        <f>"ENSG00000144908.13"</f>
        <v>ENSG00000144908.13</v>
      </c>
      <c r="B365" s="10">
        <v>-1.21214341076559</v>
      </c>
      <c r="C365" s="10">
        <v>4.4064470339065398</v>
      </c>
      <c r="D365" s="10">
        <v>7.6867800124353503</v>
      </c>
      <c r="E365" s="10">
        <v>2.3918403629848602E-2</v>
      </c>
      <c r="F365" s="10" t="str">
        <f>"ALDH1L1"</f>
        <v>ALDH1L1</v>
      </c>
      <c r="G365" s="10" t="str">
        <f>"protein_coding"</f>
        <v>protein_coding</v>
      </c>
      <c r="J365" s="14"/>
    </row>
    <row r="366" spans="1:10" x14ac:dyDescent="0.2">
      <c r="A366" s="10" t="str">
        <f>"ENSG00000246022.2"</f>
        <v>ENSG00000246022.2</v>
      </c>
      <c r="B366" s="10">
        <v>-1.7607804395422499</v>
      </c>
      <c r="C366" s="10">
        <v>6.3034753612244698E-2</v>
      </c>
      <c r="D366" s="10">
        <v>19.1143752724116</v>
      </c>
      <c r="E366" s="10">
        <v>2.2164121852376599E-3</v>
      </c>
      <c r="F366" s="10" t="str">
        <f>"ALDH1L1-AS2"</f>
        <v>ALDH1L1-AS2</v>
      </c>
      <c r="G366" s="10" t="str">
        <f>"antisense"</f>
        <v>antisense</v>
      </c>
      <c r="J366" s="14"/>
    </row>
    <row r="367" spans="1:10" x14ac:dyDescent="0.2">
      <c r="A367" s="10" t="str">
        <f>"ENSG00000261159.1"</f>
        <v>ENSG00000261159.1</v>
      </c>
      <c r="B367" s="10">
        <v>-2.1209167793284598</v>
      </c>
      <c r="C367" s="10">
        <v>-1.84065769108621</v>
      </c>
      <c r="D367" s="10">
        <v>6.2499415224034003</v>
      </c>
      <c r="E367" s="10">
        <v>3.6569167484511299E-2</v>
      </c>
      <c r="F367" s="10" t="str">
        <f>"AC112484.3"</f>
        <v>AC112484.3</v>
      </c>
      <c r="G367" s="10" t="str">
        <f>"lincRNA"</f>
        <v>lincRNA</v>
      </c>
      <c r="J367" s="14"/>
    </row>
    <row r="368" spans="1:10" x14ac:dyDescent="0.2">
      <c r="A368" s="10" t="str">
        <f>"ENSG00000231305.3"</f>
        <v>ENSG00000231305.3</v>
      </c>
      <c r="B368" s="10">
        <v>-1.1930936406671</v>
      </c>
      <c r="C368" s="10">
        <v>-0.84470071232642596</v>
      </c>
      <c r="D368" s="10">
        <v>6.8816096782065603</v>
      </c>
      <c r="E368" s="10">
        <v>2.9753762399827799E-2</v>
      </c>
      <c r="F368" s="10" t="str">
        <f>"AC112484.1"</f>
        <v>AC112484.1</v>
      </c>
      <c r="G368" s="10" t="str">
        <f>"antisense"</f>
        <v>antisense</v>
      </c>
      <c r="J368" s="14"/>
    </row>
    <row r="369" spans="1:10" x14ac:dyDescent="0.2">
      <c r="A369" s="10" t="str">
        <f>"ENSG00000114654.7"</f>
        <v>ENSG00000114654.7</v>
      </c>
      <c r="B369" s="10">
        <v>1.2768221125338599</v>
      </c>
      <c r="C369" s="10">
        <v>-0.52964152478729898</v>
      </c>
      <c r="D369" s="10">
        <v>6.6161795395963203</v>
      </c>
      <c r="E369" s="10">
        <v>3.2687295554208802E-2</v>
      </c>
      <c r="F369" s="10" t="str">
        <f>"EFCC1"</f>
        <v>EFCC1</v>
      </c>
      <c r="G369" s="10" t="str">
        <f>"protein_coding"</f>
        <v>protein_coding</v>
      </c>
      <c r="J369" s="14"/>
    </row>
    <row r="370" spans="1:10" x14ac:dyDescent="0.2">
      <c r="A370" s="10" t="str">
        <f>"ENSG00000181789.14"</f>
        <v>ENSG00000181789.14</v>
      </c>
      <c r="B370" s="10">
        <v>1.2827658122523</v>
      </c>
      <c r="C370" s="10">
        <v>6.9666733110913004</v>
      </c>
      <c r="D370" s="10">
        <v>43.2960829925129</v>
      </c>
      <c r="E370" s="10">
        <v>1.51816742249306E-4</v>
      </c>
      <c r="F370" s="10" t="str">
        <f>"COPG1"</f>
        <v>COPG1</v>
      </c>
      <c r="G370" s="10" t="str">
        <f>"protein_coding"</f>
        <v>protein_coding</v>
      </c>
      <c r="J370" s="14"/>
    </row>
    <row r="371" spans="1:10" x14ac:dyDescent="0.2">
      <c r="A371" s="10" t="str">
        <f>"ENSG00000172771.12"</f>
        <v>ENSG00000172771.12</v>
      </c>
      <c r="B371" s="10">
        <v>2.0982820584158999</v>
      </c>
      <c r="C371" s="10">
        <v>1.27716359671627</v>
      </c>
      <c r="D371" s="10">
        <v>34.205326397620098</v>
      </c>
      <c r="E371" s="10">
        <v>3.6588592962154802E-4</v>
      </c>
      <c r="F371" s="10" t="str">
        <f>"EFCAB12"</f>
        <v>EFCAB12</v>
      </c>
      <c r="G371" s="10" t="str">
        <f>"protein_coding"</f>
        <v>protein_coding</v>
      </c>
      <c r="J371" s="14"/>
    </row>
    <row r="372" spans="1:10" x14ac:dyDescent="0.2">
      <c r="A372" s="10" t="str">
        <f>"ENSG00000163914.4"</f>
        <v>ENSG00000163914.4</v>
      </c>
      <c r="B372" s="10">
        <v>1.26581898954313</v>
      </c>
      <c r="C372" s="10">
        <v>-0.21540919900652</v>
      </c>
      <c r="D372" s="10">
        <v>6.7485672715675298</v>
      </c>
      <c r="E372" s="10">
        <v>3.1404190309107398E-2</v>
      </c>
      <c r="F372" s="10" t="str">
        <f>"RHO"</f>
        <v>RHO</v>
      </c>
      <c r="G372" s="10" t="str">
        <f>"protein_coding"</f>
        <v>protein_coding</v>
      </c>
      <c r="J372" s="14"/>
    </row>
    <row r="373" spans="1:10" x14ac:dyDescent="0.2">
      <c r="A373" s="10" t="str">
        <f>"ENSG00000203644.3"</f>
        <v>ENSG00000203644.3</v>
      </c>
      <c r="B373" s="10">
        <v>1.0680552470133799</v>
      </c>
      <c r="C373" s="10">
        <v>2.1185748649639198</v>
      </c>
      <c r="D373" s="10">
        <v>11.016080656651299</v>
      </c>
      <c r="E373" s="10">
        <v>1.03725880585279E-2</v>
      </c>
      <c r="F373" s="10" t="str">
        <f>"AC083799.1"</f>
        <v>AC083799.1</v>
      </c>
      <c r="G373" s="10" t="str">
        <f>"sense_intronic"</f>
        <v>sense_intronic</v>
      </c>
      <c r="J373" s="14"/>
    </row>
    <row r="374" spans="1:10" x14ac:dyDescent="0.2">
      <c r="A374" s="10" t="str">
        <f>"ENSG00000271270.6"</f>
        <v>ENSG00000271270.6</v>
      </c>
      <c r="B374" s="10">
        <v>1.1339376459518</v>
      </c>
      <c r="C374" s="10">
        <v>1.8038406976794401</v>
      </c>
      <c r="D374" s="10">
        <v>6.29817525299603</v>
      </c>
      <c r="E374" s="10">
        <v>3.6051701988269201E-2</v>
      </c>
      <c r="F374" s="10" t="str">
        <f>"TMCC1-AS1"</f>
        <v>TMCC1-AS1</v>
      </c>
      <c r="G374" s="10" t="str">
        <f>"antisense"</f>
        <v>antisense</v>
      </c>
      <c r="J374" s="14"/>
    </row>
    <row r="375" spans="1:10" x14ac:dyDescent="0.2">
      <c r="A375" s="10" t="str">
        <f>"ENSG00000206384.10"</f>
        <v>ENSG00000206384.10</v>
      </c>
      <c r="B375" s="10">
        <v>-1.2338917390922399</v>
      </c>
      <c r="C375" s="10">
        <v>-0.39336084191095499</v>
      </c>
      <c r="D375" s="10">
        <v>9.3652690540164301</v>
      </c>
      <c r="E375" s="10">
        <v>1.5045138822110501E-2</v>
      </c>
      <c r="F375" s="10" t="str">
        <f>"COL6A6"</f>
        <v>COL6A6</v>
      </c>
      <c r="G375" s="10" t="str">
        <f>"protein_coding"</f>
        <v>protein_coding</v>
      </c>
      <c r="J375" s="14"/>
    </row>
    <row r="376" spans="1:10" x14ac:dyDescent="0.2">
      <c r="A376" s="10" t="str">
        <f>"ENSG00000154917.11"</f>
        <v>ENSG00000154917.11</v>
      </c>
      <c r="B376" s="10">
        <v>-1.17952518876257</v>
      </c>
      <c r="C376" s="10">
        <v>1.1601581843083499</v>
      </c>
      <c r="D376" s="10">
        <v>9.1941276633540401</v>
      </c>
      <c r="E376" s="10">
        <v>1.6022897377804601E-2</v>
      </c>
      <c r="F376" s="10" t="str">
        <f>"RAB6B"</f>
        <v>RAB6B</v>
      </c>
      <c r="G376" s="10" t="str">
        <f>"protein_coding"</f>
        <v>protein_coding</v>
      </c>
      <c r="J376" s="14"/>
    </row>
    <row r="377" spans="1:10" x14ac:dyDescent="0.2">
      <c r="A377" s="10" t="str">
        <f>"ENSG00000174564.13"</f>
        <v>ENSG00000174564.13</v>
      </c>
      <c r="B377" s="10">
        <v>2.07148477004205</v>
      </c>
      <c r="C377" s="10">
        <v>-1.5610848331436999</v>
      </c>
      <c r="D377" s="10">
        <v>8.4956057145579997</v>
      </c>
      <c r="E377" s="10">
        <v>1.9044787345858499E-2</v>
      </c>
      <c r="F377" s="10" t="str">
        <f>"IL20RB"</f>
        <v>IL20RB</v>
      </c>
      <c r="G377" s="10" t="str">
        <f>"protein_coding"</f>
        <v>protein_coding</v>
      </c>
      <c r="J377" s="14"/>
    </row>
    <row r="378" spans="1:10" x14ac:dyDescent="0.2">
      <c r="A378" s="10" t="str">
        <f>"ENSG00000120756.13"</f>
        <v>ENSG00000120756.13</v>
      </c>
      <c r="B378" s="10">
        <v>1.1938429864529301</v>
      </c>
      <c r="C378" s="10">
        <v>4.4559624145353203</v>
      </c>
      <c r="D378" s="10">
        <v>7.9595567265978699</v>
      </c>
      <c r="E378" s="10">
        <v>2.2175612057923899E-2</v>
      </c>
      <c r="F378" s="10" t="str">
        <f>"PLS1"</f>
        <v>PLS1</v>
      </c>
      <c r="G378" s="10" t="str">
        <f>"protein_coding"</f>
        <v>protein_coding</v>
      </c>
      <c r="J378" s="14"/>
    </row>
    <row r="379" spans="1:10" x14ac:dyDescent="0.2">
      <c r="A379" s="10" t="str">
        <f>"ENSG00000114698.15"</f>
        <v>ENSG00000114698.15</v>
      </c>
      <c r="B379" s="10">
        <v>3.6376757697593498</v>
      </c>
      <c r="C379" s="10">
        <v>3.8175355779203799</v>
      </c>
      <c r="D379" s="10">
        <v>8.4145314049298108</v>
      </c>
      <c r="E379" s="10">
        <v>1.9609751474144201E-2</v>
      </c>
      <c r="F379" s="10" t="str">
        <f>"PLSCR4"</f>
        <v>PLSCR4</v>
      </c>
      <c r="G379" s="10" t="str">
        <f>"protein_coding"</f>
        <v>protein_coding</v>
      </c>
      <c r="J379" s="14"/>
    </row>
    <row r="380" spans="1:10" x14ac:dyDescent="0.2">
      <c r="A380" s="10" t="str">
        <f>"ENSG00000243885.1"</f>
        <v>ENSG00000243885.1</v>
      </c>
      <c r="B380" s="10">
        <v>1.2949038243134701</v>
      </c>
      <c r="C380" s="10">
        <v>1.15497451011573</v>
      </c>
      <c r="D380" s="10">
        <v>6.8901533772181001</v>
      </c>
      <c r="E380" s="10">
        <v>3.0101598169961601E-2</v>
      </c>
      <c r="F380" s="10" t="str">
        <f>"AC108751.4"</f>
        <v>AC108751.4</v>
      </c>
      <c r="G380" s="10" t="str">
        <f>"lincRNA"</f>
        <v>lincRNA</v>
      </c>
      <c r="J380" s="14"/>
    </row>
    <row r="381" spans="1:10" x14ac:dyDescent="0.2">
      <c r="A381" s="10" t="str">
        <f>"ENSG00000018408.14"</f>
        <v>ENSG00000018408.14</v>
      </c>
      <c r="B381" s="10">
        <v>1.0068768125624299</v>
      </c>
      <c r="C381" s="10">
        <v>6.8219777361588703</v>
      </c>
      <c r="D381" s="10">
        <v>18.3654008592117</v>
      </c>
      <c r="E381" s="10">
        <v>2.5927247884649299E-3</v>
      </c>
      <c r="F381" s="10" t="str">
        <f>"WWTR1"</f>
        <v>WWTR1</v>
      </c>
      <c r="G381" s="10" t="str">
        <f>"protein_coding"</f>
        <v>protein_coding</v>
      </c>
      <c r="J381" s="14"/>
    </row>
    <row r="382" spans="1:10" x14ac:dyDescent="0.2">
      <c r="A382" s="10" t="str">
        <f>"ENSG00000206199.10"</f>
        <v>ENSG00000206199.10</v>
      </c>
      <c r="B382" s="10">
        <v>-2.1273443740177198</v>
      </c>
      <c r="C382" s="10">
        <v>1.19577459399835</v>
      </c>
      <c r="D382" s="10">
        <v>23.362957531951999</v>
      </c>
      <c r="E382" s="10">
        <v>1.25417627697605E-3</v>
      </c>
      <c r="F382" s="10" t="str">
        <f>"ANKUB1"</f>
        <v>ANKUB1</v>
      </c>
      <c r="G382" s="10" t="str">
        <f>"protein_coding"</f>
        <v>protein_coding</v>
      </c>
      <c r="J382" s="14"/>
    </row>
    <row r="383" spans="1:10" x14ac:dyDescent="0.2">
      <c r="A383" s="10" t="str">
        <f>"ENSG00000070087.14"</f>
        <v>ENSG00000070087.14</v>
      </c>
      <c r="B383" s="10">
        <v>1.0125733781550901</v>
      </c>
      <c r="C383" s="10">
        <v>7.0407437292945501</v>
      </c>
      <c r="D383" s="10">
        <v>20.097209964874502</v>
      </c>
      <c r="E383" s="10">
        <v>1.98554707367602E-3</v>
      </c>
      <c r="F383" s="10" t="str">
        <f>"PFN2"</f>
        <v>PFN2</v>
      </c>
      <c r="G383" s="10" t="str">
        <f>"protein_coding"</f>
        <v>protein_coding</v>
      </c>
      <c r="J383" s="14"/>
    </row>
    <row r="384" spans="1:10" x14ac:dyDescent="0.2">
      <c r="A384" s="10" t="str">
        <f>"ENSG00000244265.1"</f>
        <v>ENSG00000244265.1</v>
      </c>
      <c r="B384" s="10">
        <v>-1.1721016292334601</v>
      </c>
      <c r="C384" s="10">
        <v>1.6579156176827501</v>
      </c>
      <c r="D384" s="10">
        <v>19.946888184075299</v>
      </c>
      <c r="E384" s="10">
        <v>1.94750107007833E-3</v>
      </c>
      <c r="F384" s="10" t="str">
        <f>"SIAH2-AS1"</f>
        <v>SIAH2-AS1</v>
      </c>
      <c r="G384" s="10" t="str">
        <f>"antisense"</f>
        <v>antisense</v>
      </c>
      <c r="J384" s="14"/>
    </row>
    <row r="385" spans="1:10" x14ac:dyDescent="0.2">
      <c r="A385" s="10" t="str">
        <f>"ENSG00000152601.17"</f>
        <v>ENSG00000152601.17</v>
      </c>
      <c r="B385" s="10">
        <v>1.0845544465605701</v>
      </c>
      <c r="C385" s="10">
        <v>5.57853220488989</v>
      </c>
      <c r="D385" s="10">
        <v>12.299079864967499</v>
      </c>
      <c r="E385" s="10">
        <v>7.8421588472583192E-3</v>
      </c>
      <c r="F385" s="10" t="str">
        <f>"MBNL1"</f>
        <v>MBNL1</v>
      </c>
      <c r="G385" s="10" t="str">
        <f>"protein_coding"</f>
        <v>protein_coding</v>
      </c>
      <c r="J385" s="14"/>
    </row>
    <row r="386" spans="1:10" x14ac:dyDescent="0.2">
      <c r="A386" s="10" t="str">
        <f>"ENSG00000244268.1"</f>
        <v>ENSG00000244268.1</v>
      </c>
      <c r="B386" s="10">
        <v>-1.0951774869837101</v>
      </c>
      <c r="C386" s="10">
        <v>0.819185259825992</v>
      </c>
      <c r="D386" s="10">
        <v>13.786054301757201</v>
      </c>
      <c r="E386" s="10">
        <v>5.6329416722665998E-3</v>
      </c>
      <c r="F386" s="10" t="str">
        <f>"AC117394.2"</f>
        <v>AC117394.2</v>
      </c>
      <c r="G386" s="10" t="str">
        <f>"antisense"</f>
        <v>antisense</v>
      </c>
      <c r="J386" s="14"/>
    </row>
    <row r="387" spans="1:10" x14ac:dyDescent="0.2">
      <c r="A387" s="10" t="str">
        <f>"ENSG00000243629.1"</f>
        <v>ENSG00000243629.1</v>
      </c>
      <c r="B387" s="10">
        <v>1.2692157855942301</v>
      </c>
      <c r="C387" s="10">
        <v>-0.64791008463656297</v>
      </c>
      <c r="D387" s="10">
        <v>5.6782008601271396</v>
      </c>
      <c r="E387" s="10">
        <v>4.3976674569702098E-2</v>
      </c>
      <c r="F387" s="10" t="str">
        <f>"LINC00880"</f>
        <v>LINC00880</v>
      </c>
      <c r="G387" s="10" t="str">
        <f>"lincRNA"</f>
        <v>lincRNA</v>
      </c>
      <c r="J387" s="14"/>
    </row>
    <row r="388" spans="1:10" x14ac:dyDescent="0.2">
      <c r="A388" s="10" t="str">
        <f>"ENSG00000163590.14"</f>
        <v>ENSG00000163590.14</v>
      </c>
      <c r="B388" s="10">
        <v>-1.60057837048454</v>
      </c>
      <c r="C388" s="10">
        <v>1.62622229672242</v>
      </c>
      <c r="D388" s="10">
        <v>19.1807982053726</v>
      </c>
      <c r="E388" s="10">
        <v>2.28157585443408E-3</v>
      </c>
      <c r="F388" s="10" t="str">
        <f>"PPM1L"</f>
        <v>PPM1L</v>
      </c>
      <c r="G388" s="10" t="str">
        <f>"protein_coding"</f>
        <v>protein_coding</v>
      </c>
      <c r="J388" s="14"/>
    </row>
    <row r="389" spans="1:10" x14ac:dyDescent="0.2">
      <c r="A389" s="10" t="str">
        <f>"ENSG00000269984.1"</f>
        <v>ENSG00000269984.1</v>
      </c>
      <c r="B389" s="10">
        <v>-1.08505234606593</v>
      </c>
      <c r="C389" s="10">
        <v>-0.539007154231674</v>
      </c>
      <c r="D389" s="10">
        <v>5.9942466641186698</v>
      </c>
      <c r="E389" s="10">
        <v>3.9212021324951898E-2</v>
      </c>
      <c r="F389" s="10" t="str">
        <f>"AC078795.1"</f>
        <v>AC078795.1</v>
      </c>
      <c r="G389" s="10" t="str">
        <f>"antisense"</f>
        <v>antisense</v>
      </c>
      <c r="J389" s="14"/>
    </row>
    <row r="390" spans="1:10" x14ac:dyDescent="0.2">
      <c r="A390" s="10" t="str">
        <f>"ENSG00000173890.17"</f>
        <v>ENSG00000173890.17</v>
      </c>
      <c r="B390" s="10">
        <v>1.3419030995135099</v>
      </c>
      <c r="C390" s="10">
        <v>5.3936175592584696</v>
      </c>
      <c r="D390" s="10">
        <v>8.20975485419088</v>
      </c>
      <c r="E390" s="10">
        <v>2.0715591215066699E-2</v>
      </c>
      <c r="F390" s="10" t="str">
        <f>"GPR160"</f>
        <v>GPR160</v>
      </c>
      <c r="G390" s="10" t="str">
        <f>"protein_coding"</f>
        <v>protein_coding</v>
      </c>
      <c r="J390" s="14"/>
    </row>
    <row r="391" spans="1:10" x14ac:dyDescent="0.2">
      <c r="A391" s="10" t="str">
        <f>"ENSG00000199488.1"</f>
        <v>ENSG00000199488.1</v>
      </c>
      <c r="B391" s="10">
        <v>2.6979334034814499</v>
      </c>
      <c r="C391" s="10">
        <v>-0.19496550296003901</v>
      </c>
      <c r="D391" s="10">
        <v>18.480065556746801</v>
      </c>
      <c r="E391" s="10">
        <v>2.5458965836577399E-3</v>
      </c>
      <c r="F391" s="10" t="str">
        <f>"RNU1-70P"</f>
        <v>RNU1-70P</v>
      </c>
      <c r="G391" s="10" t="str">
        <f>"snRNA"</f>
        <v>snRNA</v>
      </c>
      <c r="J391" s="14"/>
    </row>
    <row r="392" spans="1:10" x14ac:dyDescent="0.2">
      <c r="A392" s="10" t="str">
        <f>"ENSG00000163581.14"</f>
        <v>ENSG00000163581.14</v>
      </c>
      <c r="B392" s="10">
        <v>2.38230948970735</v>
      </c>
      <c r="C392" s="10">
        <v>4.2244245735702899</v>
      </c>
      <c r="D392" s="10">
        <v>17.1941155139817</v>
      </c>
      <c r="E392" s="10">
        <v>3.1387033610365401E-3</v>
      </c>
      <c r="F392" s="10" t="str">
        <f>"SLC2A2"</f>
        <v>SLC2A2</v>
      </c>
      <c r="G392" s="10" t="str">
        <f>"protein_coding"</f>
        <v>protein_coding</v>
      </c>
      <c r="J392" s="14"/>
    </row>
    <row r="393" spans="1:10" x14ac:dyDescent="0.2">
      <c r="A393" s="10" t="str">
        <f>"ENSG00000121858.11"</f>
        <v>ENSG00000121858.11</v>
      </c>
      <c r="B393" s="10">
        <v>1.723835786779</v>
      </c>
      <c r="C393" s="10">
        <v>2.9305755400364699</v>
      </c>
      <c r="D393" s="10">
        <v>18.736636408021301</v>
      </c>
      <c r="E393" s="10">
        <v>2.4448847587365298E-3</v>
      </c>
      <c r="F393" s="10" t="str">
        <f>"TNFSF10"</f>
        <v>TNFSF10</v>
      </c>
      <c r="G393" s="10" t="str">
        <f>"protein_coding"</f>
        <v>protein_coding</v>
      </c>
      <c r="J393" s="14"/>
    </row>
    <row r="394" spans="1:10" x14ac:dyDescent="0.2">
      <c r="A394" s="10" t="str">
        <f>"ENSG00000058056.9"</f>
        <v>ENSG00000058056.9</v>
      </c>
      <c r="B394" s="10">
        <v>1.08957878183748</v>
      </c>
      <c r="C394" s="10">
        <v>5.5943863346769396</v>
      </c>
      <c r="D394" s="10">
        <v>9.6424330188619898</v>
      </c>
      <c r="E394" s="10">
        <v>1.4331277760501001E-2</v>
      </c>
      <c r="F394" s="10" t="str">
        <f>"USP13"</f>
        <v>USP13</v>
      </c>
      <c r="G394" s="10" t="str">
        <f>"protein_coding"</f>
        <v>protein_coding</v>
      </c>
      <c r="J394" s="14"/>
    </row>
    <row r="395" spans="1:10" x14ac:dyDescent="0.2">
      <c r="A395" s="10" t="str">
        <f>"ENSG00000090539.15"</f>
        <v>ENSG00000090539.15</v>
      </c>
      <c r="B395" s="10">
        <v>-1.2630687636382201</v>
      </c>
      <c r="C395" s="10">
        <v>6.2249414339015399</v>
      </c>
      <c r="D395" s="10">
        <v>15.962665547220301</v>
      </c>
      <c r="E395" s="10">
        <v>3.8771545052434498E-3</v>
      </c>
      <c r="F395" s="10" t="str">
        <f>"CHRD"</f>
        <v>CHRD</v>
      </c>
      <c r="G395" s="10" t="str">
        <f>"protein_coding"</f>
        <v>protein_coding</v>
      </c>
      <c r="J395" s="14"/>
    </row>
    <row r="396" spans="1:10" x14ac:dyDescent="0.2">
      <c r="A396" s="10" t="str">
        <f>"ENSG00000163898.10"</f>
        <v>ENSG00000163898.10</v>
      </c>
      <c r="B396" s="10">
        <v>2.2703446963233498</v>
      </c>
      <c r="C396" s="10">
        <v>3.0275105723857099</v>
      </c>
      <c r="D396" s="10">
        <v>20.004703638053499</v>
      </c>
      <c r="E396" s="10">
        <v>2.01316106608251E-3</v>
      </c>
      <c r="F396" s="10" t="str">
        <f>"LIPH"</f>
        <v>LIPH</v>
      </c>
      <c r="G396" s="10" t="str">
        <f>"protein_coding"</f>
        <v>protein_coding</v>
      </c>
      <c r="J396" s="14"/>
    </row>
    <row r="397" spans="1:10" x14ac:dyDescent="0.2">
      <c r="A397" s="10" t="str">
        <f>"ENSG00000171658.8"</f>
        <v>ENSG00000171658.8</v>
      </c>
      <c r="B397" s="10">
        <v>1.9000308459739901</v>
      </c>
      <c r="C397" s="10">
        <v>1.6875814061050001</v>
      </c>
      <c r="D397" s="10">
        <v>26.825856134531399</v>
      </c>
      <c r="E397" s="10">
        <v>8.1112060797441097E-4</v>
      </c>
      <c r="F397" s="10" t="str">
        <f>"NMRAL2P"</f>
        <v>NMRAL2P</v>
      </c>
      <c r="G397" s="10" t="str">
        <f>"transcribed_unprocessed_pseudogene"</f>
        <v>transcribed_unprocessed_pseudogene</v>
      </c>
      <c r="J397" s="14"/>
    </row>
    <row r="398" spans="1:10" x14ac:dyDescent="0.2">
      <c r="A398" s="10" t="str">
        <f>"ENSG00000058866.15"</f>
        <v>ENSG00000058866.15</v>
      </c>
      <c r="B398" s="10">
        <v>1.69822267295921</v>
      </c>
      <c r="C398" s="10">
        <v>3.2764595103229599</v>
      </c>
      <c r="D398" s="10">
        <v>41.786254079014697</v>
      </c>
      <c r="E398" s="10">
        <v>1.8512795735733901E-4</v>
      </c>
      <c r="F398" s="10" t="str">
        <f>"DGKG"</f>
        <v>DGKG</v>
      </c>
      <c r="G398" s="10" t="str">
        <f>"protein_coding"</f>
        <v>protein_coding</v>
      </c>
      <c r="J398" s="14"/>
    </row>
    <row r="399" spans="1:10" x14ac:dyDescent="0.2">
      <c r="A399" s="10" t="str">
        <f>"ENSG00000127241.16"</f>
        <v>ENSG00000127241.16</v>
      </c>
      <c r="B399" s="10">
        <v>1.3191958899268099</v>
      </c>
      <c r="C399" s="10">
        <v>2.4452435072833199</v>
      </c>
      <c r="D399" s="10">
        <v>9.5541856390211404</v>
      </c>
      <c r="E399" s="10">
        <v>1.46458369337622E-2</v>
      </c>
      <c r="F399" s="10" t="str">
        <f>"MASP1"</f>
        <v>MASP1</v>
      </c>
      <c r="G399" s="10" t="str">
        <f>"protein_coding"</f>
        <v>protein_coding</v>
      </c>
      <c r="J399" s="14"/>
    </row>
    <row r="400" spans="1:10" x14ac:dyDescent="0.2">
      <c r="A400" s="10" t="str">
        <f>"ENSG00000136514.3"</f>
        <v>ENSG00000136514.3</v>
      </c>
      <c r="B400" s="10">
        <v>1.4231048954602099</v>
      </c>
      <c r="C400" s="10">
        <v>-1.2306387203311899</v>
      </c>
      <c r="D400" s="10">
        <v>5.7712658368214402</v>
      </c>
      <c r="E400" s="10">
        <v>4.2390601311201898E-2</v>
      </c>
      <c r="F400" s="10" t="str">
        <f>"RTP4"</f>
        <v>RTP4</v>
      </c>
      <c r="G400" s="10" t="str">
        <f>"protein_coding"</f>
        <v>protein_coding</v>
      </c>
      <c r="J400" s="14"/>
    </row>
    <row r="401" spans="1:10" x14ac:dyDescent="0.2">
      <c r="A401" s="10" t="str">
        <f>"ENSG00000145012.13"</f>
        <v>ENSG00000145012.13</v>
      </c>
      <c r="B401" s="10">
        <v>1.00603207295478</v>
      </c>
      <c r="C401" s="10">
        <v>7.3249924986588297</v>
      </c>
      <c r="D401" s="10">
        <v>7.2229432922353798</v>
      </c>
      <c r="E401" s="10">
        <v>2.7298494718906E-2</v>
      </c>
      <c r="F401" s="10" t="str">
        <f>"LPP"</f>
        <v>LPP</v>
      </c>
      <c r="G401" s="10" t="str">
        <f>"protein_coding"</f>
        <v>protein_coding</v>
      </c>
      <c r="J401" s="14"/>
    </row>
    <row r="402" spans="1:10" x14ac:dyDescent="0.2">
      <c r="A402" s="10" t="str">
        <f>"ENSG00000276407.4"</f>
        <v>ENSG00000276407.4</v>
      </c>
      <c r="B402" s="10">
        <v>-2.5052647434289099</v>
      </c>
      <c r="C402" s="10">
        <v>-1.3811942796010099</v>
      </c>
      <c r="D402" s="10">
        <v>11.759848913341401</v>
      </c>
      <c r="E402" s="10">
        <v>8.7990234269237199E-3</v>
      </c>
      <c r="F402" s="10" t="str">
        <f>"AC024559.2"</f>
        <v>AC024559.2</v>
      </c>
      <c r="G402" s="10" t="str">
        <f>"lincRNA"</f>
        <v>lincRNA</v>
      </c>
      <c r="J402" s="14"/>
    </row>
    <row r="403" spans="1:10" x14ac:dyDescent="0.2">
      <c r="A403" s="10" t="str">
        <f>"ENSG00000184203.8"</f>
        <v>ENSG00000184203.8</v>
      </c>
      <c r="B403" s="10">
        <v>1.19663755901191</v>
      </c>
      <c r="C403" s="10">
        <v>6.6540236295333299</v>
      </c>
      <c r="D403" s="10">
        <v>8.1807310622634404</v>
      </c>
      <c r="E403" s="10">
        <v>2.0878619875699399E-2</v>
      </c>
      <c r="F403" s="10" t="str">
        <f>"PPP1R2"</f>
        <v>PPP1R2</v>
      </c>
      <c r="G403" s="10" t="str">
        <f>"protein_coding"</f>
        <v>protein_coding</v>
      </c>
      <c r="J403" s="14"/>
    </row>
    <row r="404" spans="1:10" x14ac:dyDescent="0.2">
      <c r="A404" s="10" t="str">
        <f>"ENSG00000189058.9"</f>
        <v>ENSG00000189058.9</v>
      </c>
      <c r="B404" s="10">
        <v>1.6399816881337601</v>
      </c>
      <c r="C404" s="10">
        <v>-0.50385781681824104</v>
      </c>
      <c r="D404" s="10">
        <v>10.215234132053</v>
      </c>
      <c r="E404" s="10">
        <v>1.24831498689513E-2</v>
      </c>
      <c r="F404" s="10" t="str">
        <f>"APOD"</f>
        <v>APOD</v>
      </c>
      <c r="G404" s="10" t="str">
        <f>"protein_coding"</f>
        <v>protein_coding</v>
      </c>
      <c r="J404" s="14"/>
    </row>
    <row r="405" spans="1:10" x14ac:dyDescent="0.2">
      <c r="A405" s="10" t="str">
        <f>"ENSG00000224769.1"</f>
        <v>ENSG00000224769.1</v>
      </c>
      <c r="B405" s="10">
        <v>-2.7237130471487001</v>
      </c>
      <c r="C405" s="10">
        <v>-1.8450738417102099</v>
      </c>
      <c r="D405" s="10">
        <v>10.007744922937199</v>
      </c>
      <c r="E405" s="10">
        <v>1.2940871442963801E-2</v>
      </c>
      <c r="F405" s="10" t="str">
        <f>"MUC20P1"</f>
        <v>MUC20P1</v>
      </c>
      <c r="G405" s="10" t="str">
        <f>"unprocessed_pseudogene"</f>
        <v>unprocessed_pseudogene</v>
      </c>
      <c r="J405" s="14"/>
    </row>
    <row r="406" spans="1:10" x14ac:dyDescent="0.2">
      <c r="A406" s="10" t="str">
        <f>"ENSG00000176945.17"</f>
        <v>ENSG00000176945.17</v>
      </c>
      <c r="B406" s="10">
        <v>-1.67066436622477</v>
      </c>
      <c r="C406" s="10">
        <v>1.2005202253404299</v>
      </c>
      <c r="D406" s="10">
        <v>18.431078826954199</v>
      </c>
      <c r="E406" s="10">
        <v>2.5657719566411501E-3</v>
      </c>
      <c r="F406" s="10" t="str">
        <f>"MUC20"</f>
        <v>MUC20</v>
      </c>
      <c r="G406" s="10" t="str">
        <f>"protein_coding"</f>
        <v>protein_coding</v>
      </c>
      <c r="J406" s="14"/>
    </row>
    <row r="407" spans="1:10" x14ac:dyDescent="0.2">
      <c r="A407" s="10" t="str">
        <f>"ENSG00000260261.2"</f>
        <v>ENSG00000260261.2</v>
      </c>
      <c r="B407" s="10">
        <v>-1.1647446211286001</v>
      </c>
      <c r="C407" s="10">
        <v>2.3660891232802501</v>
      </c>
      <c r="D407" s="10">
        <v>14.220189528791201</v>
      </c>
      <c r="E407" s="10">
        <v>5.33674770485744E-3</v>
      </c>
      <c r="F407" s="10" t="str">
        <f>"AC124944.3"</f>
        <v>AC124944.3</v>
      </c>
      <c r="G407" s="10" t="str">
        <f>"transcribed_unprocessed_pseudogene"</f>
        <v>transcribed_unprocessed_pseudogene</v>
      </c>
      <c r="J407" s="14"/>
    </row>
    <row r="408" spans="1:10" x14ac:dyDescent="0.2">
      <c r="A408" s="10" t="str">
        <f>"ENSG00000225822.4"</f>
        <v>ENSG00000225822.4</v>
      </c>
      <c r="B408" s="10">
        <v>-2.14972941345999</v>
      </c>
      <c r="C408" s="10">
        <v>-1.84148694518615</v>
      </c>
      <c r="D408" s="10">
        <v>5.93498403830122</v>
      </c>
      <c r="E408" s="10">
        <v>4.0450067503482103E-2</v>
      </c>
      <c r="F408" s="10" t="str">
        <f>"UBXN7-AS1"</f>
        <v>UBXN7-AS1</v>
      </c>
      <c r="G408" s="10" t="str">
        <f>"antisense"</f>
        <v>antisense</v>
      </c>
      <c r="J408" s="14"/>
    </row>
    <row r="409" spans="1:10" x14ac:dyDescent="0.2">
      <c r="A409" s="10" t="str">
        <f>"ENSG00000215375.6"</f>
        <v>ENSG00000215375.6</v>
      </c>
      <c r="B409" s="10">
        <v>-1.12564410061693</v>
      </c>
      <c r="C409" s="10">
        <v>2.7902372392061499</v>
      </c>
      <c r="D409" s="10">
        <v>20.065131040528801</v>
      </c>
      <c r="E409" s="10">
        <v>1.9129534033434899E-3</v>
      </c>
      <c r="F409" s="10" t="str">
        <f>"MYL5"</f>
        <v>MYL5</v>
      </c>
      <c r="G409" s="10" t="str">
        <f>"protein_coding"</f>
        <v>protein_coding</v>
      </c>
      <c r="J409" s="14"/>
    </row>
    <row r="410" spans="1:10" x14ac:dyDescent="0.2">
      <c r="A410" s="10" t="str">
        <f>"ENSG00000185818.7"</f>
        <v>ENSG00000185818.7</v>
      </c>
      <c r="B410" s="10">
        <v>-1.1101251297725101</v>
      </c>
      <c r="C410" s="10">
        <v>4.0943905465107697</v>
      </c>
      <c r="D410" s="10">
        <v>10.3365705947023</v>
      </c>
      <c r="E410" s="10">
        <v>1.2130817807063E-2</v>
      </c>
      <c r="F410" s="10" t="str">
        <f>"NAT8L"</f>
        <v>NAT8L</v>
      </c>
      <c r="G410" s="10" t="str">
        <f>"protein_coding"</f>
        <v>protein_coding</v>
      </c>
      <c r="J410" s="14"/>
    </row>
    <row r="411" spans="1:10" x14ac:dyDescent="0.2">
      <c r="A411" s="10" t="str">
        <f>"ENSG00000247708.7"</f>
        <v>ENSG00000247708.7</v>
      </c>
      <c r="B411" s="10">
        <v>1.1495782170919999</v>
      </c>
      <c r="C411" s="10">
        <v>1.37651239892676</v>
      </c>
      <c r="D411" s="10">
        <v>11.3978879331782</v>
      </c>
      <c r="E411" s="10">
        <v>9.5243320126465105E-3</v>
      </c>
      <c r="F411" s="10" t="str">
        <f>"STX18-AS1"</f>
        <v>STX18-AS1</v>
      </c>
      <c r="G411" s="10" t="str">
        <f>"antisense"</f>
        <v>antisense</v>
      </c>
      <c r="J411" s="14"/>
    </row>
    <row r="412" spans="1:10" x14ac:dyDescent="0.2">
      <c r="A412" s="10" t="str">
        <f>"ENSG00000173013.5"</f>
        <v>ENSG00000173013.5</v>
      </c>
      <c r="B412" s="10">
        <v>-1.0259331074597</v>
      </c>
      <c r="C412" s="10">
        <v>2.3338272131675302</v>
      </c>
      <c r="D412" s="10">
        <v>8.5664198106773704</v>
      </c>
      <c r="E412" s="10">
        <v>1.8837206694294398E-2</v>
      </c>
      <c r="F412" s="10" t="str">
        <f>"CCDC96"</f>
        <v>CCDC96</v>
      </c>
      <c r="G412" s="10" t="str">
        <f>"protein_coding"</f>
        <v>protein_coding</v>
      </c>
      <c r="J412" s="14"/>
    </row>
    <row r="413" spans="1:10" x14ac:dyDescent="0.2">
      <c r="A413" s="10" t="str">
        <f>"ENSG00000178597.7"</f>
        <v>ENSG00000178597.7</v>
      </c>
      <c r="B413" s="10">
        <v>-1.4562010774680401</v>
      </c>
      <c r="C413" s="10">
        <v>-0.62442558130751902</v>
      </c>
      <c r="D413" s="10">
        <v>6.5339844558376301</v>
      </c>
      <c r="E413" s="10">
        <v>3.3517404132445E-2</v>
      </c>
      <c r="F413" s="10" t="str">
        <f>"PSAPL1"</f>
        <v>PSAPL1</v>
      </c>
      <c r="G413" s="10" t="str">
        <f>"protein_coding"</f>
        <v>protein_coding</v>
      </c>
      <c r="J413" s="14"/>
    </row>
    <row r="414" spans="1:10" x14ac:dyDescent="0.2">
      <c r="A414" s="10" t="str">
        <f>"ENSG00000247624.6"</f>
        <v>ENSG00000247624.6</v>
      </c>
      <c r="B414" s="10">
        <v>-2.23709523051807</v>
      </c>
      <c r="C414" s="10">
        <v>-0.98298079953193496</v>
      </c>
      <c r="D414" s="10">
        <v>7.4825689364469898</v>
      </c>
      <c r="E414" s="10">
        <v>2.53373837850276E-2</v>
      </c>
      <c r="F414" s="10" t="str">
        <f>"CPEB2-DT"</f>
        <v>CPEB2-DT</v>
      </c>
      <c r="G414" s="10" t="str">
        <f>"lincRNA"</f>
        <v>lincRNA</v>
      </c>
      <c r="J414" s="14"/>
    </row>
    <row r="415" spans="1:10" x14ac:dyDescent="0.2">
      <c r="A415" s="10" t="str">
        <f>"ENSG00000007062.11"</f>
        <v>ENSG00000007062.11</v>
      </c>
      <c r="B415" s="10">
        <v>1.1163358777199699</v>
      </c>
      <c r="C415" s="10">
        <v>4.3439183112095696</v>
      </c>
      <c r="D415" s="10">
        <v>24.8229063984449</v>
      </c>
      <c r="E415" s="10">
        <v>1.0260595291509899E-3</v>
      </c>
      <c r="F415" s="10" t="str">
        <f>"PROM1"</f>
        <v>PROM1</v>
      </c>
      <c r="G415" s="10" t="str">
        <f>"protein_coding"</f>
        <v>protein_coding</v>
      </c>
      <c r="J415" s="14"/>
    </row>
    <row r="416" spans="1:10" x14ac:dyDescent="0.2">
      <c r="A416" s="10" t="str">
        <f>"ENSG00000145147.20"</f>
        <v>ENSG00000145147.20</v>
      </c>
      <c r="B416" s="10">
        <v>-1.7351592646331899</v>
      </c>
      <c r="C416" s="10">
        <v>1.305203660414</v>
      </c>
      <c r="D416" s="10">
        <v>32.023771906783402</v>
      </c>
      <c r="E416" s="10">
        <v>4.2865364449233301E-4</v>
      </c>
      <c r="F416" s="10" t="str">
        <f>"SLIT2"</f>
        <v>SLIT2</v>
      </c>
      <c r="G416" s="10" t="str">
        <f>"protein_coding"</f>
        <v>protein_coding</v>
      </c>
      <c r="J416" s="14"/>
    </row>
    <row r="417" spans="1:10" x14ac:dyDescent="0.2">
      <c r="A417" s="10" t="str">
        <f>"ENSG00000109819.9"</f>
        <v>ENSG00000109819.9</v>
      </c>
      <c r="B417" s="10">
        <v>2.4105155527503599</v>
      </c>
      <c r="C417" s="10">
        <v>4.0653026860503196</v>
      </c>
      <c r="D417" s="10">
        <v>16.2584800976758</v>
      </c>
      <c r="E417" s="10">
        <v>3.6814818815447698E-3</v>
      </c>
      <c r="F417" s="10" t="str">
        <f>"PPARGC1A"</f>
        <v>PPARGC1A</v>
      </c>
      <c r="G417" s="10" t="str">
        <f>"protein_coding"</f>
        <v>protein_coding</v>
      </c>
      <c r="J417" s="14"/>
    </row>
    <row r="418" spans="1:10" x14ac:dyDescent="0.2">
      <c r="A418" s="10" t="str">
        <f>"ENSG00000281501.1"</f>
        <v>ENSG00000281501.1</v>
      </c>
      <c r="B418" s="10">
        <v>1.3451476735977801</v>
      </c>
      <c r="C418" s="10">
        <v>0.86848418861171495</v>
      </c>
      <c r="D418" s="10">
        <v>9.5053264294762894</v>
      </c>
      <c r="E418" s="10">
        <v>1.4823730748808101E-2</v>
      </c>
      <c r="F418" s="10" t="str">
        <f>"SEPSECS-AS1"</f>
        <v>SEPSECS-AS1</v>
      </c>
      <c r="G418" s="10" t="str">
        <f>"antisense"</f>
        <v>antisense</v>
      </c>
      <c r="J418" s="14"/>
    </row>
    <row r="419" spans="1:10" x14ac:dyDescent="0.2">
      <c r="A419" s="10" t="str">
        <f>"ENSG00000109680.11"</f>
        <v>ENSG00000109680.11</v>
      </c>
      <c r="B419" s="10">
        <v>1.31649246757282</v>
      </c>
      <c r="C419" s="10">
        <v>0.28213918629381302</v>
      </c>
      <c r="D419" s="10">
        <v>9.28074292113536</v>
      </c>
      <c r="E419" s="10">
        <v>1.5677257537342899E-2</v>
      </c>
      <c r="F419" s="10" t="str">
        <f>"TBC1D19"</f>
        <v>TBC1D19</v>
      </c>
      <c r="G419" s="10" t="str">
        <f>"protein_coding"</f>
        <v>protein_coding</v>
      </c>
      <c r="J419" s="14"/>
    </row>
    <row r="420" spans="1:10" x14ac:dyDescent="0.2">
      <c r="A420" s="10" t="str">
        <f>"ENSG00000174145.8"</f>
        <v>ENSG00000174145.8</v>
      </c>
      <c r="B420" s="10">
        <v>-1.51476317198312</v>
      </c>
      <c r="C420" s="10">
        <v>-1.27684985367218</v>
      </c>
      <c r="D420" s="10">
        <v>6.3841454429603699</v>
      </c>
      <c r="E420" s="10">
        <v>3.4689230939305503E-2</v>
      </c>
      <c r="F420" s="10" t="str">
        <f>"NWD2"</f>
        <v>NWD2</v>
      </c>
      <c r="G420" s="10" t="str">
        <f>"protein_coding"</f>
        <v>protein_coding</v>
      </c>
      <c r="J420" s="14"/>
    </row>
    <row r="421" spans="1:10" x14ac:dyDescent="0.2">
      <c r="A421" s="10" t="str">
        <f>"ENSG00000174130.12"</f>
        <v>ENSG00000174130.12</v>
      </c>
      <c r="B421" s="10">
        <v>1.4382907984239699</v>
      </c>
      <c r="C421" s="10">
        <v>0.50121446720944296</v>
      </c>
      <c r="D421" s="10">
        <v>12.995990080664701</v>
      </c>
      <c r="E421" s="10">
        <v>6.7905132607201397E-3</v>
      </c>
      <c r="F421" s="10" t="str">
        <f>"TLR6"</f>
        <v>TLR6</v>
      </c>
      <c r="G421" s="10" t="str">
        <f>"protein_coding"</f>
        <v>protein_coding</v>
      </c>
      <c r="J421" s="14"/>
    </row>
    <row r="422" spans="1:10" x14ac:dyDescent="0.2">
      <c r="A422" s="10" t="str">
        <f>"ENSG00000154277.12"</f>
        <v>ENSG00000154277.12</v>
      </c>
      <c r="B422" s="10">
        <v>2.46257431133817</v>
      </c>
      <c r="C422" s="10">
        <v>0.59820813795127403</v>
      </c>
      <c r="D422" s="10">
        <v>41.689183917382202</v>
      </c>
      <c r="E422" s="10">
        <v>1.7640679799079201E-4</v>
      </c>
      <c r="F422" s="10" t="str">
        <f>"UCHL1"</f>
        <v>UCHL1</v>
      </c>
      <c r="G422" s="10" t="str">
        <f>"protein_coding"</f>
        <v>protein_coding</v>
      </c>
      <c r="J422" s="14"/>
    </row>
    <row r="423" spans="1:10" x14ac:dyDescent="0.2">
      <c r="A423" s="10" t="str">
        <f>"ENSG00000249212.1"</f>
        <v>ENSG00000249212.1</v>
      </c>
      <c r="B423" s="10">
        <v>-2.3305814558262798</v>
      </c>
      <c r="C423" s="10">
        <v>-2.0465024173491999</v>
      </c>
      <c r="D423" s="10">
        <v>5.5698728176532102</v>
      </c>
      <c r="E423" s="10">
        <v>4.5581306851713903E-2</v>
      </c>
      <c r="F423" s="10" t="str">
        <f>"ATP1B1P1"</f>
        <v>ATP1B1P1</v>
      </c>
      <c r="G423" s="10" t="str">
        <f>"unprocessed_pseudogene"</f>
        <v>unprocessed_pseudogene</v>
      </c>
      <c r="J423" s="14"/>
    </row>
    <row r="424" spans="1:10" x14ac:dyDescent="0.2">
      <c r="A424" s="10" t="str">
        <f>"ENSG00000109182.12"</f>
        <v>ENSG00000109182.12</v>
      </c>
      <c r="B424" s="10">
        <v>-3.1461802984196399</v>
      </c>
      <c r="C424" s="10">
        <v>-2.1018475524011002</v>
      </c>
      <c r="D424" s="10">
        <v>8.93934710611091</v>
      </c>
      <c r="E424" s="10">
        <v>1.7065362027442899E-2</v>
      </c>
      <c r="F424" s="10" t="str">
        <f>"CWH43"</f>
        <v>CWH43</v>
      </c>
      <c r="G424" s="10" t="str">
        <f>"protein_coding"</f>
        <v>protein_coding</v>
      </c>
      <c r="J424" s="14"/>
    </row>
    <row r="425" spans="1:10" x14ac:dyDescent="0.2">
      <c r="A425" s="10" t="str">
        <f>"ENSG00000188993.3"</f>
        <v>ENSG00000188993.3</v>
      </c>
      <c r="B425" s="10">
        <v>1.7513008122514</v>
      </c>
      <c r="C425" s="10">
        <v>-0.489088075941575</v>
      </c>
      <c r="D425" s="10">
        <v>10.8751589713707</v>
      </c>
      <c r="E425" s="10">
        <v>1.0709488710798401E-2</v>
      </c>
      <c r="F425" s="10" t="str">
        <f>"LRRC66"</f>
        <v>LRRC66</v>
      </c>
      <c r="G425" s="10" t="str">
        <f>"protein_coding"</f>
        <v>protein_coding</v>
      </c>
      <c r="J425" s="14"/>
    </row>
    <row r="426" spans="1:10" x14ac:dyDescent="0.2">
      <c r="A426" s="10" t="str">
        <f>"ENSG00000251040.1"</f>
        <v>ENSG00000251040.1</v>
      </c>
      <c r="B426" s="10">
        <v>-3.16702605879239</v>
      </c>
      <c r="C426" s="10">
        <v>-2.0913251786331402</v>
      </c>
      <c r="D426" s="10">
        <v>7.1914335751039697</v>
      </c>
      <c r="E426" s="10">
        <v>2.7549366426576901E-2</v>
      </c>
      <c r="F426" s="10" t="str">
        <f>"LINC02480"</f>
        <v>LINC02480</v>
      </c>
      <c r="G426" s="10" t="str">
        <f>"lincRNA"</f>
        <v>lincRNA</v>
      </c>
      <c r="J426" s="14"/>
    </row>
    <row r="427" spans="1:10" x14ac:dyDescent="0.2">
      <c r="A427" s="10" t="str">
        <f>"ENSG00000226887.8"</f>
        <v>ENSG00000226887.8</v>
      </c>
      <c r="B427" s="10">
        <v>-1.3479342260509499</v>
      </c>
      <c r="C427" s="10">
        <v>1.2256670005843</v>
      </c>
      <c r="D427" s="10">
        <v>18.881322608104401</v>
      </c>
      <c r="E427" s="10">
        <v>2.2967481815912298E-3</v>
      </c>
      <c r="F427" s="10" t="str">
        <f>"ERVMER34-1"</f>
        <v>ERVMER34-1</v>
      </c>
      <c r="G427" s="10" t="str">
        <f>"protein_coding"</f>
        <v>protein_coding</v>
      </c>
      <c r="J427" s="14"/>
    </row>
    <row r="428" spans="1:10" x14ac:dyDescent="0.2">
      <c r="A428" s="10" t="str">
        <f>"ENSG00000162840.4"</f>
        <v>ENSG00000162840.4</v>
      </c>
      <c r="B428" s="10">
        <v>1.6053387873867999</v>
      </c>
      <c r="C428" s="10">
        <v>3.0755503216257001</v>
      </c>
      <c r="D428" s="10">
        <v>37.125016030135598</v>
      </c>
      <c r="E428" s="10">
        <v>2.7452415859691799E-4</v>
      </c>
      <c r="F428" s="10" t="str">
        <f>"MT2P1"</f>
        <v>MT2P1</v>
      </c>
      <c r="G428" s="10" t="str">
        <f>"processed_pseudogene"</f>
        <v>processed_pseudogene</v>
      </c>
      <c r="J428" s="14"/>
    </row>
    <row r="429" spans="1:10" x14ac:dyDescent="0.2">
      <c r="A429" s="10" t="str">
        <f>"ENSG00000250919.1"</f>
        <v>ENSG00000250919.1</v>
      </c>
      <c r="B429" s="10">
        <v>-1.1741857075518201</v>
      </c>
      <c r="C429" s="10">
        <v>-0.37600686360764102</v>
      </c>
      <c r="D429" s="10">
        <v>9.7033884933368295</v>
      </c>
      <c r="E429" s="10">
        <v>1.38287306820522E-2</v>
      </c>
      <c r="F429" s="10" t="str">
        <f>"UGT2B26P"</f>
        <v>UGT2B26P</v>
      </c>
      <c r="G429" s="10" t="str">
        <f>"unprocessed_pseudogene"</f>
        <v>unprocessed_pseudogene</v>
      </c>
      <c r="J429" s="14"/>
    </row>
    <row r="430" spans="1:10" x14ac:dyDescent="0.2">
      <c r="A430" s="10" t="str">
        <f>"ENSG00000250696.5"</f>
        <v>ENSG00000250696.5</v>
      </c>
      <c r="B430" s="10">
        <v>-1.7444464274717499</v>
      </c>
      <c r="C430" s="10">
        <v>0.312638473229706</v>
      </c>
      <c r="D430" s="10">
        <v>14.6316446696332</v>
      </c>
      <c r="E430" s="10">
        <v>4.9373155698888803E-3</v>
      </c>
      <c r="F430" s="10" t="str">
        <f>"AC111000.4"</f>
        <v>AC111000.4</v>
      </c>
      <c r="G430" s="10" t="str">
        <f>"antisense"</f>
        <v>antisense</v>
      </c>
      <c r="J430" s="14"/>
    </row>
    <row r="431" spans="1:10" x14ac:dyDescent="0.2">
      <c r="A431" s="10" t="str">
        <f>"ENSG00000213759.9"</f>
        <v>ENSG00000213759.9</v>
      </c>
      <c r="B431" s="10">
        <v>-1.1033281486930699</v>
      </c>
      <c r="C431" s="10">
        <v>1.7201191800072599</v>
      </c>
      <c r="D431" s="10">
        <v>12.252013724017299</v>
      </c>
      <c r="E431" s="10">
        <v>7.8605196796654297E-3</v>
      </c>
      <c r="F431" s="10" t="str">
        <f>"UGT2B11"</f>
        <v>UGT2B11</v>
      </c>
      <c r="G431" s="10" t="str">
        <f t="shared" ref="G431:G437" si="12">"protein_coding"</f>
        <v>protein_coding</v>
      </c>
      <c r="J431" s="14"/>
    </row>
    <row r="432" spans="1:10" x14ac:dyDescent="0.2">
      <c r="A432" s="10" t="str">
        <f>"ENSG00000156096.14"</f>
        <v>ENSG00000156096.14</v>
      </c>
      <c r="B432" s="10">
        <v>-2.0801395993722802</v>
      </c>
      <c r="C432" s="10">
        <v>8.0327538235182103E-3</v>
      </c>
      <c r="D432" s="10">
        <v>7.0220100687203102</v>
      </c>
      <c r="E432" s="10">
        <v>2.89493543946359E-2</v>
      </c>
      <c r="F432" s="10" t="str">
        <f>"UGT2B4"</f>
        <v>UGT2B4</v>
      </c>
      <c r="G432" s="10" t="str">
        <f t="shared" si="12"/>
        <v>protein_coding</v>
      </c>
      <c r="J432" s="14"/>
    </row>
    <row r="433" spans="1:10" x14ac:dyDescent="0.2">
      <c r="A433" s="10" t="str">
        <f>"ENSG00000173597.9"</f>
        <v>ENSG00000173597.9</v>
      </c>
      <c r="B433" s="10">
        <v>1.9115344909099901</v>
      </c>
      <c r="C433" s="10">
        <v>0.171260379663731</v>
      </c>
      <c r="D433" s="10">
        <v>19.265709849857998</v>
      </c>
      <c r="E433" s="10">
        <v>2.2519243471271601E-3</v>
      </c>
      <c r="F433" s="10" t="str">
        <f>"SULT1B1"</f>
        <v>SULT1B1</v>
      </c>
      <c r="G433" s="10" t="str">
        <f t="shared" si="12"/>
        <v>protein_coding</v>
      </c>
      <c r="J433" s="14"/>
    </row>
    <row r="434" spans="1:10" x14ac:dyDescent="0.2">
      <c r="A434" s="10" t="str">
        <f>"ENSG00000109205.16"</f>
        <v>ENSG00000109205.16</v>
      </c>
      <c r="B434" s="10">
        <v>2.5564420716825902</v>
      </c>
      <c r="C434" s="10">
        <v>3.0670293433749598</v>
      </c>
      <c r="D434" s="10">
        <v>15.081453807165</v>
      </c>
      <c r="E434" s="10">
        <v>4.5425186038402596E-3</v>
      </c>
      <c r="F434" s="10" t="str">
        <f>"ODAM"</f>
        <v>ODAM</v>
      </c>
      <c r="G434" s="10" t="str">
        <f t="shared" si="12"/>
        <v>protein_coding</v>
      </c>
      <c r="J434" s="14"/>
    </row>
    <row r="435" spans="1:10" x14ac:dyDescent="0.2">
      <c r="A435" s="10" t="str">
        <f>"ENSG00000169435.14"</f>
        <v>ENSG00000169435.14</v>
      </c>
      <c r="B435" s="10">
        <v>-1.1231371497634</v>
      </c>
      <c r="C435" s="10">
        <v>5.2129845531976499E-2</v>
      </c>
      <c r="D435" s="10">
        <v>9.2415005585931205</v>
      </c>
      <c r="E435" s="10">
        <v>1.55237365836958E-2</v>
      </c>
      <c r="F435" s="10" t="str">
        <f>"RASSF6"</f>
        <v>RASSF6</v>
      </c>
      <c r="G435" s="10" t="str">
        <f t="shared" si="12"/>
        <v>protein_coding</v>
      </c>
      <c r="J435" s="14"/>
    </row>
    <row r="436" spans="1:10" x14ac:dyDescent="0.2">
      <c r="A436" s="10" t="str">
        <f>"ENSG00000163738.18"</f>
        <v>ENSG00000163738.18</v>
      </c>
      <c r="B436" s="10">
        <v>1.2632493391936801</v>
      </c>
      <c r="C436" s="10">
        <v>2.5716488637055299</v>
      </c>
      <c r="D436" s="10">
        <v>7.8813707770307904</v>
      </c>
      <c r="E436" s="10">
        <v>2.2658295311724901E-2</v>
      </c>
      <c r="F436" s="10" t="str">
        <f>"MTHFD2L"</f>
        <v>MTHFD2L</v>
      </c>
      <c r="G436" s="10" t="str">
        <f t="shared" si="12"/>
        <v>protein_coding</v>
      </c>
      <c r="J436" s="14"/>
    </row>
    <row r="437" spans="1:10" x14ac:dyDescent="0.2">
      <c r="A437" s="10" t="str">
        <f>"ENSG00000138769.11"</f>
        <v>ENSG00000138769.11</v>
      </c>
      <c r="B437" s="10">
        <v>-1.9082381190845801</v>
      </c>
      <c r="C437" s="10">
        <v>-1.7088865308944701</v>
      </c>
      <c r="D437" s="10">
        <v>7.0745601783619003</v>
      </c>
      <c r="E437" s="10">
        <v>2.80918809238247E-2</v>
      </c>
      <c r="F437" s="10" t="str">
        <f>"CDKL2"</f>
        <v>CDKL2</v>
      </c>
      <c r="G437" s="10" t="str">
        <f t="shared" si="12"/>
        <v>protein_coding</v>
      </c>
      <c r="J437" s="14"/>
    </row>
    <row r="438" spans="1:10" x14ac:dyDescent="0.2">
      <c r="A438" s="10" t="str">
        <f>"ENSG00000251442.5"</f>
        <v>ENSG00000251442.5</v>
      </c>
      <c r="B438" s="10">
        <v>2.3212209295358801</v>
      </c>
      <c r="C438" s="10">
        <v>-1.6399873294059499</v>
      </c>
      <c r="D438" s="10">
        <v>7.3498306523389703</v>
      </c>
      <c r="E438" s="10">
        <v>2.6316974609342E-2</v>
      </c>
      <c r="F438" s="10" t="str">
        <f>"LINC01094"</f>
        <v>LINC01094</v>
      </c>
      <c r="G438" s="10" t="str">
        <f>"lincRNA"</f>
        <v>lincRNA</v>
      </c>
      <c r="J438" s="14"/>
    </row>
    <row r="439" spans="1:10" x14ac:dyDescent="0.2">
      <c r="A439" s="10" t="str">
        <f>"ENSG00000145284.12"</f>
        <v>ENSG00000145284.12</v>
      </c>
      <c r="B439" s="10">
        <v>-1.6095589395699901</v>
      </c>
      <c r="C439" s="10">
        <v>0.80796377041904499</v>
      </c>
      <c r="D439" s="10">
        <v>7.4282699722066896</v>
      </c>
      <c r="E439" s="10">
        <v>2.5732445018210499E-2</v>
      </c>
      <c r="F439" s="10" t="str">
        <f>"SCD5"</f>
        <v>SCD5</v>
      </c>
      <c r="G439" s="10" t="str">
        <f t="shared" ref="G439:G444" si="13">"protein_coding"</f>
        <v>protein_coding</v>
      </c>
      <c r="J439" s="14"/>
    </row>
    <row r="440" spans="1:10" x14ac:dyDescent="0.2">
      <c r="A440" s="10" t="str">
        <f>"ENSG00000145287.10"</f>
        <v>ENSG00000145287.10</v>
      </c>
      <c r="B440" s="10">
        <v>1.90826721352817</v>
      </c>
      <c r="C440" s="10">
        <v>4.0883571134739896</v>
      </c>
      <c r="D440" s="10">
        <v>5.7171771574311299</v>
      </c>
      <c r="E440" s="10">
        <v>4.3416925124155001E-2</v>
      </c>
      <c r="F440" s="10" t="str">
        <f>"PLAC8"</f>
        <v>PLAC8</v>
      </c>
      <c r="G440" s="10" t="str">
        <f t="shared" si="13"/>
        <v>protein_coding</v>
      </c>
      <c r="J440" s="14"/>
    </row>
    <row r="441" spans="1:10" x14ac:dyDescent="0.2">
      <c r="A441" s="10" t="str">
        <f>"ENSG00000138678.11"</f>
        <v>ENSG00000138678.11</v>
      </c>
      <c r="B441" s="10">
        <v>1.0095308061106401</v>
      </c>
      <c r="C441" s="10">
        <v>3.2567476908280901</v>
      </c>
      <c r="D441" s="10">
        <v>5.5765392438907799</v>
      </c>
      <c r="E441" s="10">
        <v>4.5480431374004697E-2</v>
      </c>
      <c r="F441" s="10" t="str">
        <f>"GPAT3"</f>
        <v>GPAT3</v>
      </c>
      <c r="G441" s="10" t="str">
        <f t="shared" si="13"/>
        <v>protein_coding</v>
      </c>
      <c r="J441" s="14"/>
    </row>
    <row r="442" spans="1:10" x14ac:dyDescent="0.2">
      <c r="A442" s="10" t="str">
        <f>"ENSG00000198189.11"</f>
        <v>ENSG00000198189.11</v>
      </c>
      <c r="B442" s="10">
        <v>1.5945780822937501</v>
      </c>
      <c r="C442" s="10">
        <v>6.2906675656191204</v>
      </c>
      <c r="D442" s="10">
        <v>11.1476633386599</v>
      </c>
      <c r="E442" s="10">
        <v>1.00699345534791E-2</v>
      </c>
      <c r="F442" s="10" t="str">
        <f>"HSD17B11"</f>
        <v>HSD17B11</v>
      </c>
      <c r="G442" s="10" t="str">
        <f t="shared" si="13"/>
        <v>protein_coding</v>
      </c>
      <c r="J442" s="14"/>
    </row>
    <row r="443" spans="1:10" x14ac:dyDescent="0.2">
      <c r="A443" s="10" t="str">
        <f>"ENSG00000118785.14"</f>
        <v>ENSG00000118785.14</v>
      </c>
      <c r="B443" s="10">
        <v>1.6886974290450301</v>
      </c>
      <c r="C443" s="10">
        <v>7.8932456579852301</v>
      </c>
      <c r="D443" s="10">
        <v>21.305285440885399</v>
      </c>
      <c r="E443" s="10">
        <v>1.66488966562443E-3</v>
      </c>
      <c r="F443" s="10" t="str">
        <f>"SPP1"</f>
        <v>SPP1</v>
      </c>
      <c r="G443" s="10" t="str">
        <f t="shared" si="13"/>
        <v>protein_coding</v>
      </c>
      <c r="J443" s="14"/>
    </row>
    <row r="444" spans="1:10" x14ac:dyDescent="0.2">
      <c r="A444" s="10" t="str">
        <f>"ENSG00000145335.15"</f>
        <v>ENSG00000145335.15</v>
      </c>
      <c r="B444" s="10">
        <v>-1.6924353041656499</v>
      </c>
      <c r="C444" s="10">
        <v>-0.21945181002789799</v>
      </c>
      <c r="D444" s="10">
        <v>7.8193839310566204</v>
      </c>
      <c r="E444" s="10">
        <v>2.30504168180591E-2</v>
      </c>
      <c r="F444" s="10" t="str">
        <f>"SNCA"</f>
        <v>SNCA</v>
      </c>
      <c r="G444" s="10" t="str">
        <f t="shared" si="13"/>
        <v>protein_coding</v>
      </c>
      <c r="J444" s="14"/>
    </row>
    <row r="445" spans="1:10" x14ac:dyDescent="0.2">
      <c r="A445" s="10" t="str">
        <f>"ENSG00000274238.1"</f>
        <v>ENSG00000274238.1</v>
      </c>
      <c r="B445" s="10">
        <v>-2.6417852929614898</v>
      </c>
      <c r="C445" s="10">
        <v>-0.127597978856028</v>
      </c>
      <c r="D445" s="10">
        <v>29.370220444030998</v>
      </c>
      <c r="E445" s="10">
        <v>6.0536185128857599E-4</v>
      </c>
      <c r="F445" s="10" t="str">
        <f>"AC097478.2"</f>
        <v>AC097478.2</v>
      </c>
      <c r="G445" s="10" t="str">
        <f>"antisense"</f>
        <v>antisense</v>
      </c>
      <c r="J445" s="14"/>
    </row>
    <row r="446" spans="1:10" x14ac:dyDescent="0.2">
      <c r="A446" s="10" t="str">
        <f>"ENSG00000198099.8"</f>
        <v>ENSG00000198099.8</v>
      </c>
      <c r="B446" s="10">
        <v>1.4406927395903</v>
      </c>
      <c r="C446" s="10">
        <v>3.6000503016015899</v>
      </c>
      <c r="D446" s="10">
        <v>7.5959534138065798</v>
      </c>
      <c r="E446" s="10">
        <v>2.45368048827675E-2</v>
      </c>
      <c r="F446" s="10" t="str">
        <f>"ADH4"</f>
        <v>ADH4</v>
      </c>
      <c r="G446" s="10" t="str">
        <f t="shared" ref="G446:G461" si="14">"protein_coding"</f>
        <v>protein_coding</v>
      </c>
      <c r="J446" s="14"/>
    </row>
    <row r="447" spans="1:10" x14ac:dyDescent="0.2">
      <c r="A447" s="10" t="str">
        <f>"ENSG00000138823.13"</f>
        <v>ENSG00000138823.13</v>
      </c>
      <c r="B447" s="10">
        <v>2.66756838190229</v>
      </c>
      <c r="C447" s="10">
        <v>5.3234458713479604</v>
      </c>
      <c r="D447" s="10">
        <v>5.4778710055237996</v>
      </c>
      <c r="E447" s="10">
        <v>4.7002966965579103E-2</v>
      </c>
      <c r="F447" s="10" t="str">
        <f>"MTTP"</f>
        <v>MTTP</v>
      </c>
      <c r="G447" s="10" t="str">
        <f t="shared" si="14"/>
        <v>protein_coding</v>
      </c>
      <c r="J447" s="14"/>
    </row>
    <row r="448" spans="1:10" x14ac:dyDescent="0.2">
      <c r="A448" s="10" t="str">
        <f>"ENSG00000164038.15"</f>
        <v>ENSG00000164038.15</v>
      </c>
      <c r="B448" s="10">
        <v>1.2139891911944001</v>
      </c>
      <c r="C448" s="10">
        <v>4.7183288498416003</v>
      </c>
      <c r="D448" s="10">
        <v>6.5447320243365397</v>
      </c>
      <c r="E448" s="10">
        <v>3.3407357567580502E-2</v>
      </c>
      <c r="F448" s="10" t="str">
        <f>"SLC9B2"</f>
        <v>SLC9B2</v>
      </c>
      <c r="G448" s="10" t="str">
        <f t="shared" si="14"/>
        <v>protein_coding</v>
      </c>
      <c r="J448" s="14"/>
    </row>
    <row r="449" spans="1:10" x14ac:dyDescent="0.2">
      <c r="A449" s="10" t="str">
        <f>"ENSG00000168743.12"</f>
        <v>ENSG00000168743.12</v>
      </c>
      <c r="B449" s="10">
        <v>-1.1829211077888899</v>
      </c>
      <c r="C449" s="10">
        <v>6.0116744853814001</v>
      </c>
      <c r="D449" s="10">
        <v>19.892818752790301</v>
      </c>
      <c r="E449" s="10">
        <v>2.0472040859388298E-3</v>
      </c>
      <c r="F449" s="10" t="str">
        <f>"NPNT"</f>
        <v>NPNT</v>
      </c>
      <c r="G449" s="10" t="str">
        <f t="shared" si="14"/>
        <v>protein_coding</v>
      </c>
      <c r="J449" s="14"/>
    </row>
    <row r="450" spans="1:10" x14ac:dyDescent="0.2">
      <c r="A450" s="10" t="str">
        <f>"ENSG00000205403.13"</f>
        <v>ENSG00000205403.13</v>
      </c>
      <c r="B450" s="10">
        <v>1.27290864872184</v>
      </c>
      <c r="C450" s="10">
        <v>4.9413199787567699</v>
      </c>
      <c r="D450" s="10">
        <v>22.496267893247399</v>
      </c>
      <c r="E450" s="10">
        <v>1.4096899519565E-3</v>
      </c>
      <c r="F450" s="10" t="str">
        <f>"CFI"</f>
        <v>CFI</v>
      </c>
      <c r="G450" s="10" t="str">
        <f t="shared" si="14"/>
        <v>protein_coding</v>
      </c>
      <c r="J450" s="14"/>
    </row>
    <row r="451" spans="1:10" x14ac:dyDescent="0.2">
      <c r="A451" s="10" t="str">
        <f>"ENSG00000180245.5"</f>
        <v>ENSG00000180245.5</v>
      </c>
      <c r="B451" s="10">
        <v>-1.9831268389640599</v>
      </c>
      <c r="C451" s="10">
        <v>-1.66447933133986</v>
      </c>
      <c r="D451" s="10">
        <v>5.6858863047016204</v>
      </c>
      <c r="E451" s="10">
        <v>4.3865579339994201E-2</v>
      </c>
      <c r="F451" s="10" t="str">
        <f>"RRH"</f>
        <v>RRH</v>
      </c>
      <c r="G451" s="10" t="str">
        <f t="shared" si="14"/>
        <v>protein_coding</v>
      </c>
      <c r="J451" s="14"/>
    </row>
    <row r="452" spans="1:10" x14ac:dyDescent="0.2">
      <c r="A452" s="10" t="str">
        <f>"ENSG00000183423.11"</f>
        <v>ENSG00000183423.11</v>
      </c>
      <c r="B452" s="10">
        <v>-2.2126482830755201</v>
      </c>
      <c r="C452" s="10">
        <v>-1.3434199898613199</v>
      </c>
      <c r="D452" s="10">
        <v>13.351162364594</v>
      </c>
      <c r="E452" s="10">
        <v>6.1427819325630397E-3</v>
      </c>
      <c r="F452" s="10" t="str">
        <f>"LRIT3"</f>
        <v>LRIT3</v>
      </c>
      <c r="G452" s="10" t="str">
        <f t="shared" si="14"/>
        <v>protein_coding</v>
      </c>
      <c r="J452" s="14"/>
    </row>
    <row r="453" spans="1:10" x14ac:dyDescent="0.2">
      <c r="A453" s="10" t="str">
        <f>"ENSG00000138798.12"</f>
        <v>ENSG00000138798.12</v>
      </c>
      <c r="B453" s="10">
        <v>4.7685921380802796</v>
      </c>
      <c r="C453" s="10">
        <v>1.8299978224248901</v>
      </c>
      <c r="D453" s="10">
        <v>114.07870898667301</v>
      </c>
      <c r="E453" s="13">
        <v>4.7155287562786702E-6</v>
      </c>
      <c r="F453" s="10" t="str">
        <f>"EGF"</f>
        <v>EGF</v>
      </c>
      <c r="G453" s="10" t="str">
        <f t="shared" si="14"/>
        <v>protein_coding</v>
      </c>
      <c r="J453" s="14"/>
    </row>
    <row r="454" spans="1:10" x14ac:dyDescent="0.2">
      <c r="A454" s="10" t="str">
        <f>"ENSG00000170522.9"</f>
        <v>ENSG00000170522.9</v>
      </c>
      <c r="B454" s="10">
        <v>-1.01827180654537</v>
      </c>
      <c r="C454" s="10">
        <v>3.7718764043454001</v>
      </c>
      <c r="D454" s="10">
        <v>9.1976748815279592</v>
      </c>
      <c r="E454" s="10">
        <v>1.6008555078459399E-2</v>
      </c>
      <c r="F454" s="10" t="str">
        <f>"ELOVL6"</f>
        <v>ELOVL6</v>
      </c>
      <c r="G454" s="10" t="str">
        <f t="shared" si="14"/>
        <v>protein_coding</v>
      </c>
      <c r="J454" s="14"/>
    </row>
    <row r="455" spans="1:10" x14ac:dyDescent="0.2">
      <c r="A455" s="10" t="str">
        <f>"ENSG00000174749.6"</f>
        <v>ENSG00000174749.6</v>
      </c>
      <c r="B455" s="10">
        <v>1.29276909203266</v>
      </c>
      <c r="C455" s="10">
        <v>4.0246786344190202</v>
      </c>
      <c r="D455" s="10">
        <v>27.629676850428499</v>
      </c>
      <c r="E455" s="10">
        <v>7.3779334161433799E-4</v>
      </c>
      <c r="F455" s="10" t="str">
        <f>"FAM241A"</f>
        <v>FAM241A</v>
      </c>
      <c r="G455" s="10" t="str">
        <f t="shared" si="14"/>
        <v>protein_coding</v>
      </c>
      <c r="J455" s="14"/>
    </row>
    <row r="456" spans="1:10" x14ac:dyDescent="0.2">
      <c r="A456" s="10" t="str">
        <f>"ENSG00000150961.15"</f>
        <v>ENSG00000150961.15</v>
      </c>
      <c r="B456" s="10">
        <v>1.0015551336128601</v>
      </c>
      <c r="C456" s="10">
        <v>5.0460308398181004</v>
      </c>
      <c r="D456" s="10">
        <v>27.610353204446501</v>
      </c>
      <c r="E456" s="10">
        <v>7.0015078677151705E-4</v>
      </c>
      <c r="F456" s="10" t="str">
        <f>"SEC24D"</f>
        <v>SEC24D</v>
      </c>
      <c r="G456" s="10" t="str">
        <f t="shared" si="14"/>
        <v>protein_coding</v>
      </c>
      <c r="J456" s="14"/>
    </row>
    <row r="457" spans="1:10" x14ac:dyDescent="0.2">
      <c r="A457" s="10" t="str">
        <f>"ENSG00000145384.3"</f>
        <v>ENSG00000145384.3</v>
      </c>
      <c r="B457" s="10">
        <v>2.12921451576223</v>
      </c>
      <c r="C457" s="10">
        <v>-0.93255712614068498</v>
      </c>
      <c r="D457" s="10">
        <v>6.7485925527499502</v>
      </c>
      <c r="E457" s="10">
        <v>3.1403951426600601E-2</v>
      </c>
      <c r="F457" s="10" t="str">
        <f>"FABP2"</f>
        <v>FABP2</v>
      </c>
      <c r="G457" s="10" t="str">
        <f t="shared" si="14"/>
        <v>protein_coding</v>
      </c>
      <c r="J457" s="14"/>
    </row>
    <row r="458" spans="1:10" x14ac:dyDescent="0.2">
      <c r="A458" s="10" t="str">
        <f>"ENSG00000164109.14"</f>
        <v>ENSG00000164109.14</v>
      </c>
      <c r="B458" s="10">
        <v>-1.66965630237963</v>
      </c>
      <c r="C458" s="10">
        <v>4.6752393136620896</v>
      </c>
      <c r="D458" s="10">
        <v>47.640378591518797</v>
      </c>
      <c r="E458" s="10">
        <v>1.17192848807182E-4</v>
      </c>
      <c r="F458" s="10" t="str">
        <f>"MAD2L1"</f>
        <v>MAD2L1</v>
      </c>
      <c r="G458" s="10" t="str">
        <f t="shared" si="14"/>
        <v>protein_coding</v>
      </c>
      <c r="J458" s="14"/>
    </row>
    <row r="459" spans="1:10" x14ac:dyDescent="0.2">
      <c r="A459" s="10" t="str">
        <f>"ENSG00000085871.9"</f>
        <v>ENSG00000085871.9</v>
      </c>
      <c r="B459" s="10">
        <v>1.03005203014535</v>
      </c>
      <c r="C459" s="10">
        <v>6.7374658550970299</v>
      </c>
      <c r="D459" s="10">
        <v>11.363771758214201</v>
      </c>
      <c r="E459" s="10">
        <v>9.5964992484346805E-3</v>
      </c>
      <c r="F459" s="10" t="str">
        <f>"MGST2"</f>
        <v>MGST2</v>
      </c>
      <c r="G459" s="10" t="str">
        <f t="shared" si="14"/>
        <v>protein_coding</v>
      </c>
      <c r="J459" s="14"/>
    </row>
    <row r="460" spans="1:10" x14ac:dyDescent="0.2">
      <c r="A460" s="10" t="str">
        <f>"ENSG00000170153.11"</f>
        <v>ENSG00000170153.11</v>
      </c>
      <c r="B460" s="10">
        <v>-1.7848759844630899</v>
      </c>
      <c r="C460" s="10">
        <v>0.58824341171399597</v>
      </c>
      <c r="D460" s="10">
        <v>8.3660028550090804</v>
      </c>
      <c r="E460" s="10">
        <v>1.9864960160210499E-2</v>
      </c>
      <c r="F460" s="10" t="str">
        <f>"RNF150"</f>
        <v>RNF150</v>
      </c>
      <c r="G460" s="10" t="str">
        <f t="shared" si="14"/>
        <v>protein_coding</v>
      </c>
      <c r="J460" s="14"/>
    </row>
    <row r="461" spans="1:10" x14ac:dyDescent="0.2">
      <c r="A461" s="10" t="str">
        <f>"ENSG00000109452.12"</f>
        <v>ENSG00000109452.12</v>
      </c>
      <c r="B461" s="10">
        <v>-2.0104127200044899</v>
      </c>
      <c r="C461" s="10">
        <v>-1.66895348183224</v>
      </c>
      <c r="D461" s="10">
        <v>5.4127844788617496</v>
      </c>
      <c r="E461" s="10">
        <v>4.8042907608530201E-2</v>
      </c>
      <c r="F461" s="10" t="str">
        <f>"INPP4B"</f>
        <v>INPP4B</v>
      </c>
      <c r="G461" s="10" t="str">
        <f t="shared" si="14"/>
        <v>protein_coding</v>
      </c>
      <c r="J461" s="14"/>
    </row>
    <row r="462" spans="1:10" x14ac:dyDescent="0.2">
      <c r="A462" s="10" t="str">
        <f>"ENSG00000251600.7"</f>
        <v>ENSG00000251600.7</v>
      </c>
      <c r="B462" s="10">
        <v>1.7941897543352701</v>
      </c>
      <c r="C462" s="10">
        <v>-1.91410815882189</v>
      </c>
      <c r="D462" s="10">
        <v>5.29050882019376</v>
      </c>
      <c r="E462" s="10">
        <v>4.9652049931741701E-2</v>
      </c>
      <c r="F462" s="10" t="str">
        <f>"AC107223.1"</f>
        <v>AC107223.1</v>
      </c>
      <c r="G462" s="10" t="str">
        <f>"processed_transcript"</f>
        <v>processed_transcript</v>
      </c>
      <c r="J462" s="14"/>
    </row>
    <row r="463" spans="1:10" x14ac:dyDescent="0.2">
      <c r="A463" s="10" t="str">
        <f>"ENSG00000151611.15"</f>
        <v>ENSG00000151611.15</v>
      </c>
      <c r="B463" s="10">
        <v>1.2782142888753201</v>
      </c>
      <c r="C463" s="10">
        <v>2.1710698244295399</v>
      </c>
      <c r="D463" s="10">
        <v>6.6223852299965102</v>
      </c>
      <c r="E463" s="10">
        <v>3.2625684361248297E-2</v>
      </c>
      <c r="F463" s="10" t="str">
        <f>"MMAA"</f>
        <v>MMAA</v>
      </c>
      <c r="G463" s="10" t="str">
        <f>"protein_coding"</f>
        <v>protein_coding</v>
      </c>
      <c r="J463" s="14"/>
    </row>
    <row r="464" spans="1:10" x14ac:dyDescent="0.2">
      <c r="A464" s="10" t="str">
        <f>"ENSG00000120519.14"</f>
        <v>ENSG00000120519.14</v>
      </c>
      <c r="B464" s="10">
        <v>1.5018564639416301</v>
      </c>
      <c r="C464" s="10">
        <v>3.1514022364694201</v>
      </c>
      <c r="D464" s="10">
        <v>18.841978289564</v>
      </c>
      <c r="E464" s="10">
        <v>2.40486488194128E-3</v>
      </c>
      <c r="F464" s="10" t="str">
        <f>"SLC10A7"</f>
        <v>SLC10A7</v>
      </c>
      <c r="G464" s="10" t="str">
        <f>"protein_coding"</f>
        <v>protein_coding</v>
      </c>
      <c r="J464" s="14"/>
    </row>
    <row r="465" spans="1:10" x14ac:dyDescent="0.2">
      <c r="A465" s="10" t="str">
        <f>"ENSG00000170390.16"</f>
        <v>ENSG00000170390.16</v>
      </c>
      <c r="B465" s="10">
        <v>-1.89291915180939</v>
      </c>
      <c r="C465" s="10">
        <v>-1.5183335862402101</v>
      </c>
      <c r="D465" s="10">
        <v>7.4590019646355303</v>
      </c>
      <c r="E465" s="10">
        <v>2.5250879945441999E-2</v>
      </c>
      <c r="F465" s="10" t="str">
        <f>"DCLK2"</f>
        <v>DCLK2</v>
      </c>
      <c r="G465" s="10" t="str">
        <f>"protein_coding"</f>
        <v>protein_coding</v>
      </c>
      <c r="J465" s="14"/>
    </row>
    <row r="466" spans="1:10" x14ac:dyDescent="0.2">
      <c r="A466" s="10" t="str">
        <f>"ENSG00000251611.1"</f>
        <v>ENSG00000251611.1</v>
      </c>
      <c r="B466" s="10">
        <v>2.7745502882431601</v>
      </c>
      <c r="C466" s="10">
        <v>-1.9593253374539501</v>
      </c>
      <c r="D466" s="10">
        <v>8.0620535067004901</v>
      </c>
      <c r="E466" s="10">
        <v>2.1562301068392999E-2</v>
      </c>
      <c r="F466" s="10" t="str">
        <f>"FAM160A1-DT"</f>
        <v>FAM160A1-DT</v>
      </c>
      <c r="G466" s="10" t="str">
        <f>"lincRNA"</f>
        <v>lincRNA</v>
      </c>
      <c r="J466" s="14"/>
    </row>
    <row r="467" spans="1:10" x14ac:dyDescent="0.2">
      <c r="A467" s="10" t="str">
        <f>"ENSG00000164142.16"</f>
        <v>ENSG00000164142.16</v>
      </c>
      <c r="B467" s="10">
        <v>1.1337248825016999</v>
      </c>
      <c r="C467" s="10">
        <v>2.49947482740333</v>
      </c>
      <c r="D467" s="10">
        <v>7.5115936604526201</v>
      </c>
      <c r="E467" s="10">
        <v>2.5129347186870699E-2</v>
      </c>
      <c r="F467" s="10" t="str">
        <f>"FAM160A1"</f>
        <v>FAM160A1</v>
      </c>
      <c r="G467" s="10" t="str">
        <f t="shared" ref="G467:G474" si="15">"protein_coding"</f>
        <v>protein_coding</v>
      </c>
      <c r="J467" s="14"/>
    </row>
    <row r="468" spans="1:10" x14ac:dyDescent="0.2">
      <c r="A468" s="10" t="str">
        <f>"ENSG00000137462.7"</f>
        <v>ENSG00000137462.7</v>
      </c>
      <c r="B468" s="10">
        <v>-1.3536029426073699</v>
      </c>
      <c r="C468" s="10">
        <v>-0.92615897155774995</v>
      </c>
      <c r="D468" s="10">
        <v>5.7833214889191602</v>
      </c>
      <c r="E468" s="10">
        <v>4.2487552912360498E-2</v>
      </c>
      <c r="F468" s="10" t="str">
        <f>"TLR2"</f>
        <v>TLR2</v>
      </c>
      <c r="G468" s="10" t="str">
        <f t="shared" si="15"/>
        <v>protein_coding</v>
      </c>
      <c r="J468" s="14"/>
    </row>
    <row r="469" spans="1:10" x14ac:dyDescent="0.2">
      <c r="A469" s="10" t="str">
        <f>"ENSG00000171564.11"</f>
        <v>ENSG00000171564.11</v>
      </c>
      <c r="B469" s="10">
        <v>2.8341264640552599</v>
      </c>
      <c r="C469" s="10">
        <v>7.4345479876042404</v>
      </c>
      <c r="D469" s="10">
        <v>10.972100388204399</v>
      </c>
      <c r="E469" s="10">
        <v>1.04762855679548E-2</v>
      </c>
      <c r="F469" s="10" t="str">
        <f>"FGB"</f>
        <v>FGB</v>
      </c>
      <c r="G469" s="10" t="str">
        <f t="shared" si="15"/>
        <v>protein_coding</v>
      </c>
      <c r="J469" s="14"/>
    </row>
    <row r="470" spans="1:10" x14ac:dyDescent="0.2">
      <c r="A470" s="10" t="str">
        <f>"ENSG00000171560.15"</f>
        <v>ENSG00000171560.15</v>
      </c>
      <c r="B470" s="10">
        <v>2.8560187071552798</v>
      </c>
      <c r="C470" s="10">
        <v>8.8226884607172895</v>
      </c>
      <c r="D470" s="10">
        <v>14.844602476327101</v>
      </c>
      <c r="E470" s="10">
        <v>4.7452658849056004E-3</v>
      </c>
      <c r="F470" s="10" t="str">
        <f>"FGA"</f>
        <v>FGA</v>
      </c>
      <c r="G470" s="10" t="str">
        <f t="shared" si="15"/>
        <v>protein_coding</v>
      </c>
      <c r="J470" s="14"/>
    </row>
    <row r="471" spans="1:10" x14ac:dyDescent="0.2">
      <c r="A471" s="10" t="str">
        <f>"ENSG00000171557.16"</f>
        <v>ENSG00000171557.16</v>
      </c>
      <c r="B471" s="10">
        <v>2.81228310917002</v>
      </c>
      <c r="C471" s="10">
        <v>8.2097130997563301</v>
      </c>
      <c r="D471" s="10">
        <v>12.6640710820795</v>
      </c>
      <c r="E471" s="10">
        <v>7.2677763111133799E-3</v>
      </c>
      <c r="F471" s="10" t="str">
        <f>"FGG"</f>
        <v>FGG</v>
      </c>
      <c r="G471" s="10" t="str">
        <f t="shared" si="15"/>
        <v>protein_coding</v>
      </c>
      <c r="J471" s="14"/>
    </row>
    <row r="472" spans="1:10" x14ac:dyDescent="0.2">
      <c r="A472" s="10" t="str">
        <f>"ENSG00000168843.14"</f>
        <v>ENSG00000168843.14</v>
      </c>
      <c r="B472" s="10">
        <v>1.0494470980558399</v>
      </c>
      <c r="C472" s="10">
        <v>0.75874329998377199</v>
      </c>
      <c r="D472" s="10">
        <v>6.6053182463262301</v>
      </c>
      <c r="E472" s="10">
        <v>3.2795483118525599E-2</v>
      </c>
      <c r="F472" s="10" t="str">
        <f>"FSTL5"</f>
        <v>FSTL5</v>
      </c>
      <c r="G472" s="10" t="str">
        <f t="shared" si="15"/>
        <v>protein_coding</v>
      </c>
      <c r="J472" s="14"/>
    </row>
    <row r="473" spans="1:10" x14ac:dyDescent="0.2">
      <c r="A473" s="10" t="str">
        <f>"ENSG00000154447.15"</f>
        <v>ENSG00000154447.15</v>
      </c>
      <c r="B473" s="10">
        <v>1.18720829260057</v>
      </c>
      <c r="C473" s="10">
        <v>4.64144837838756</v>
      </c>
      <c r="D473" s="10">
        <v>27.618485451751202</v>
      </c>
      <c r="E473" s="10">
        <v>7.3875607525788003E-4</v>
      </c>
      <c r="F473" s="10" t="str">
        <f>"SH3RF1"</f>
        <v>SH3RF1</v>
      </c>
      <c r="G473" s="10" t="str">
        <f t="shared" si="15"/>
        <v>protein_coding</v>
      </c>
      <c r="J473" s="14"/>
    </row>
    <row r="474" spans="1:10" x14ac:dyDescent="0.2">
      <c r="A474" s="10" t="str">
        <f>"ENSG00000198948.12"</f>
        <v>ENSG00000198948.12</v>
      </c>
      <c r="B474" s="10">
        <v>-1.4603214989617801</v>
      </c>
      <c r="C474" s="10">
        <v>2.7258573266730401</v>
      </c>
      <c r="D474" s="10">
        <v>16.527718193457201</v>
      </c>
      <c r="E474" s="10">
        <v>3.5140147388779898E-3</v>
      </c>
      <c r="F474" s="10" t="str">
        <f>"MFAP3L"</f>
        <v>MFAP3L</v>
      </c>
      <c r="G474" s="10" t="str">
        <f t="shared" si="15"/>
        <v>protein_coding</v>
      </c>
      <c r="J474" s="14"/>
    </row>
    <row r="475" spans="1:10" x14ac:dyDescent="0.2">
      <c r="A475" s="10" t="str">
        <f>"ENSG00000248774.1"</f>
        <v>ENSG00000248774.1</v>
      </c>
      <c r="B475" s="10">
        <v>-1.42220692289928</v>
      </c>
      <c r="C475" s="10">
        <v>-1.10071483543285</v>
      </c>
      <c r="D475" s="10">
        <v>5.6674612338016903</v>
      </c>
      <c r="E475" s="10">
        <v>4.41276931712377E-2</v>
      </c>
      <c r="F475" s="10" t="str">
        <f>"AC097534.1"</f>
        <v>AC097534.1</v>
      </c>
      <c r="G475" s="10" t="str">
        <f>"antisense"</f>
        <v>antisense</v>
      </c>
      <c r="J475" s="14"/>
    </row>
    <row r="476" spans="1:10" x14ac:dyDescent="0.2">
      <c r="A476" s="10" t="str">
        <f>"ENSG00000249173.5"</f>
        <v>ENSG00000249173.5</v>
      </c>
      <c r="B476" s="10">
        <v>-3.2429457735671101</v>
      </c>
      <c r="C476" s="10">
        <v>-2.0406702298371302</v>
      </c>
      <c r="D476" s="10">
        <v>8.6116273008536304</v>
      </c>
      <c r="E476" s="10">
        <v>1.8614696601159001E-2</v>
      </c>
      <c r="F476" s="10" t="str">
        <f>"LINC01093"</f>
        <v>LINC01093</v>
      </c>
      <c r="G476" s="10" t="str">
        <f>"lincRNA"</f>
        <v>lincRNA</v>
      </c>
      <c r="J476" s="14"/>
    </row>
    <row r="477" spans="1:10" x14ac:dyDescent="0.2">
      <c r="A477" s="10" t="str">
        <f>"ENSG00000205129.8"</f>
        <v>ENSG00000205129.8</v>
      </c>
      <c r="B477" s="10">
        <v>-1.5833293929441601</v>
      </c>
      <c r="C477" s="10">
        <v>0.64002687315557505</v>
      </c>
      <c r="D477" s="10">
        <v>13.560096234758699</v>
      </c>
      <c r="E477" s="10">
        <v>6.0659754096441497E-3</v>
      </c>
      <c r="F477" s="10" t="str">
        <f>"C4orf47"</f>
        <v>C4orf47</v>
      </c>
      <c r="G477" s="10" t="str">
        <f>"protein_coding"</f>
        <v>protein_coding</v>
      </c>
      <c r="J477" s="14"/>
    </row>
    <row r="478" spans="1:10" x14ac:dyDescent="0.2">
      <c r="A478" s="10" t="str">
        <f>"ENSG00000154556.18"</f>
        <v>ENSG00000154556.18</v>
      </c>
      <c r="B478" s="10">
        <v>1.04254823052255</v>
      </c>
      <c r="C478" s="10">
        <v>3.9610723516786099</v>
      </c>
      <c r="D478" s="10">
        <v>7.9540402565573203</v>
      </c>
      <c r="E478" s="10">
        <v>2.2209240623154599E-2</v>
      </c>
      <c r="F478" s="10" t="str">
        <f>"SORBS2"</f>
        <v>SORBS2</v>
      </c>
      <c r="G478" s="10" t="str">
        <f>"protein_coding"</f>
        <v>protein_coding</v>
      </c>
      <c r="J478" s="14"/>
    </row>
    <row r="479" spans="1:10" x14ac:dyDescent="0.2">
      <c r="A479" s="10" t="str">
        <f>"ENSG00000109794.13"</f>
        <v>ENSG00000109794.13</v>
      </c>
      <c r="B479" s="10">
        <v>-1.4753605394288301</v>
      </c>
      <c r="C479" s="10">
        <v>-0.60259489733580396</v>
      </c>
      <c r="D479" s="10">
        <v>5.8221343592791204</v>
      </c>
      <c r="E479" s="10">
        <v>4.19539525164766E-2</v>
      </c>
      <c r="F479" s="10" t="str">
        <f>"FAM149A"</f>
        <v>FAM149A</v>
      </c>
      <c r="G479" s="10" t="str">
        <f>"protein_coding"</f>
        <v>protein_coding</v>
      </c>
      <c r="J479" s="14"/>
    </row>
    <row r="480" spans="1:10" x14ac:dyDescent="0.2">
      <c r="A480" s="10" t="str">
        <f>"ENSG00000250829.2"</f>
        <v>ENSG00000250829.2</v>
      </c>
      <c r="B480" s="10">
        <v>2.5064299398969498</v>
      </c>
      <c r="C480" s="10">
        <v>3.4431871962927398</v>
      </c>
      <c r="D480" s="10">
        <v>39.601669840879701</v>
      </c>
      <c r="E480" s="10">
        <v>2.2270881292195201E-4</v>
      </c>
      <c r="F480" s="10" t="str">
        <f>"AC108865.1"</f>
        <v>AC108865.1</v>
      </c>
      <c r="G480" s="10" t="str">
        <f>"lincRNA"</f>
        <v>lincRNA</v>
      </c>
      <c r="J480" s="14"/>
    </row>
    <row r="481" spans="1:10" x14ac:dyDescent="0.2">
      <c r="A481" s="10" t="str">
        <f>"ENSG00000272218.1"</f>
        <v>ENSG00000272218.1</v>
      </c>
      <c r="B481" s="10">
        <v>2.5849393603175601</v>
      </c>
      <c r="C481" s="10">
        <v>1.68376177887983</v>
      </c>
      <c r="D481" s="10">
        <v>33.877366086250703</v>
      </c>
      <c r="E481" s="10">
        <v>3.7787229435189699E-4</v>
      </c>
      <c r="F481" s="10" t="str">
        <f>"AC108865.2"</f>
        <v>AC108865.2</v>
      </c>
      <c r="G481" s="10" t="str">
        <f>"lincRNA"</f>
        <v>lincRNA</v>
      </c>
      <c r="J481" s="14"/>
    </row>
    <row r="482" spans="1:10" x14ac:dyDescent="0.2">
      <c r="A482" s="10" t="str">
        <f>"ENSG00000249378.5"</f>
        <v>ENSG00000249378.5</v>
      </c>
      <c r="B482" s="10">
        <v>1.43009069175981</v>
      </c>
      <c r="C482" s="10">
        <v>8.9481457168464798E-2</v>
      </c>
      <c r="D482" s="10">
        <v>6.6183190792319699</v>
      </c>
      <c r="E482" s="10">
        <v>3.2666037212075602E-2</v>
      </c>
      <c r="F482" s="10" t="str">
        <f>"LINC01060"</f>
        <v>LINC01060</v>
      </c>
      <c r="G482" s="10" t="str">
        <f>"lincRNA"</f>
        <v>lincRNA</v>
      </c>
      <c r="J482" s="14"/>
    </row>
    <row r="483" spans="1:10" x14ac:dyDescent="0.2">
      <c r="A483" s="10" t="str">
        <f>"ENSG00000066230.11"</f>
        <v>ENSG00000066230.11</v>
      </c>
      <c r="B483" s="10">
        <v>-1.4554875055758301</v>
      </c>
      <c r="C483" s="10">
        <v>4.8036756486540898E-2</v>
      </c>
      <c r="D483" s="10">
        <v>8.2412391143779296</v>
      </c>
      <c r="E483" s="10">
        <v>2.0540550818752501E-2</v>
      </c>
      <c r="F483" s="10" t="str">
        <f>"SLC9A3"</f>
        <v>SLC9A3</v>
      </c>
      <c r="G483" s="10" t="str">
        <f>"protein_coding"</f>
        <v>protein_coding</v>
      </c>
      <c r="J483" s="14"/>
    </row>
    <row r="484" spans="1:10" x14ac:dyDescent="0.2">
      <c r="A484" s="10" t="str">
        <f>"ENSG00000225138.7"</f>
        <v>ENSG00000225138.7</v>
      </c>
      <c r="B484" s="10">
        <v>-1.3842276233836199</v>
      </c>
      <c r="C484" s="10">
        <v>1.60672384447035</v>
      </c>
      <c r="D484" s="10">
        <v>17.7221144848533</v>
      </c>
      <c r="E484" s="10">
        <v>2.87345827765014E-3</v>
      </c>
      <c r="F484" s="10" t="str">
        <f>"SLC9A3-AS1"</f>
        <v>SLC9A3-AS1</v>
      </c>
      <c r="G484" s="10" t="str">
        <f>"processed_transcript"</f>
        <v>processed_transcript</v>
      </c>
      <c r="J484" s="14"/>
    </row>
    <row r="485" spans="1:10" x14ac:dyDescent="0.2">
      <c r="A485" s="10" t="str">
        <f>"ENSG00000206077.11"</f>
        <v>ENSG00000206077.11</v>
      </c>
      <c r="B485" s="10">
        <v>-1.5294623478097</v>
      </c>
      <c r="C485" s="10">
        <v>-1.54945507237811</v>
      </c>
      <c r="D485" s="10">
        <v>6.1882123606309998</v>
      </c>
      <c r="E485" s="10">
        <v>3.6852227284620599E-2</v>
      </c>
      <c r="F485" s="10" t="str">
        <f>"ZDHHC11B"</f>
        <v>ZDHHC11B</v>
      </c>
      <c r="G485" s="10" t="str">
        <f>"protein_coding"</f>
        <v>protein_coding</v>
      </c>
      <c r="J485" s="14"/>
    </row>
    <row r="486" spans="1:10" x14ac:dyDescent="0.2">
      <c r="A486" s="10" t="str">
        <f>"ENSG00000272347.1"</f>
        <v>ENSG00000272347.1</v>
      </c>
      <c r="B486" s="10">
        <v>-2.40316727300922</v>
      </c>
      <c r="C486" s="10">
        <v>-1.0421805162164399</v>
      </c>
      <c r="D486" s="10">
        <v>7.06279053870173</v>
      </c>
      <c r="E486" s="10">
        <v>2.8604312636518199E-2</v>
      </c>
      <c r="F486" s="10" t="str">
        <f>"AC116351.2"</f>
        <v>AC116351.2</v>
      </c>
      <c r="G486" s="10" t="str">
        <f>"lincRNA"</f>
        <v>lincRNA</v>
      </c>
      <c r="J486" s="14"/>
    </row>
    <row r="487" spans="1:10" x14ac:dyDescent="0.2">
      <c r="A487" s="10" t="str">
        <f>"ENSG00000174358.16"</f>
        <v>ENSG00000174358.16</v>
      </c>
      <c r="B487" s="10">
        <v>3.6982434399703199</v>
      </c>
      <c r="C487" s="10">
        <v>-1.9165894962683701</v>
      </c>
      <c r="D487" s="10">
        <v>9.4755992251853893</v>
      </c>
      <c r="E487" s="10">
        <v>1.49332956529205E-2</v>
      </c>
      <c r="F487" s="10" t="str">
        <f>"SLC6A19"</f>
        <v>SLC6A19</v>
      </c>
      <c r="G487" s="10" t="str">
        <f t="shared" ref="G487:G493" si="16">"protein_coding"</f>
        <v>protein_coding</v>
      </c>
      <c r="J487" s="14"/>
    </row>
    <row r="488" spans="1:10" x14ac:dyDescent="0.2">
      <c r="A488" s="10" t="str">
        <f>"ENSG00000145545.12"</f>
        <v>ENSG00000145545.12</v>
      </c>
      <c r="B488" s="10">
        <v>-1.0738627066761099</v>
      </c>
      <c r="C488" s="10">
        <v>4.5407280423497998</v>
      </c>
      <c r="D488" s="10">
        <v>27.310916685651399</v>
      </c>
      <c r="E488" s="10">
        <v>7.2546557058704995E-4</v>
      </c>
      <c r="F488" s="10" t="str">
        <f>"SRD5A1"</f>
        <v>SRD5A1</v>
      </c>
      <c r="G488" s="10" t="str">
        <f t="shared" si="16"/>
        <v>protein_coding</v>
      </c>
      <c r="J488" s="14"/>
    </row>
    <row r="489" spans="1:10" x14ac:dyDescent="0.2">
      <c r="A489" s="10" t="str">
        <f>"ENSG00000215217.7"</f>
        <v>ENSG00000215217.7</v>
      </c>
      <c r="B489" s="10">
        <v>-2.0702815474904299</v>
      </c>
      <c r="C489" s="10">
        <v>0.80857827727488596</v>
      </c>
      <c r="D489" s="10">
        <v>32.416818430646003</v>
      </c>
      <c r="E489" s="10">
        <v>4.1825263709272101E-4</v>
      </c>
      <c r="F489" s="10" t="str">
        <f>"C5orf49"</f>
        <v>C5orf49</v>
      </c>
      <c r="G489" s="10" t="str">
        <f t="shared" si="16"/>
        <v>protein_coding</v>
      </c>
      <c r="J489" s="14"/>
    </row>
    <row r="490" spans="1:10" x14ac:dyDescent="0.2">
      <c r="A490" s="10" t="str">
        <f>"ENSG00000145491.12"</f>
        <v>ENSG00000145491.12</v>
      </c>
      <c r="B490" s="10">
        <v>-1.7296384423551101</v>
      </c>
      <c r="C490" s="10">
        <v>0.191216981176555</v>
      </c>
      <c r="D490" s="10">
        <v>12.676702785422799</v>
      </c>
      <c r="E490" s="10">
        <v>7.2488581757326502E-3</v>
      </c>
      <c r="F490" s="10" t="str">
        <f>"ROPN1L"</f>
        <v>ROPN1L</v>
      </c>
      <c r="G490" s="10" t="str">
        <f t="shared" si="16"/>
        <v>protein_coding</v>
      </c>
      <c r="J490" s="14"/>
    </row>
    <row r="491" spans="1:10" x14ac:dyDescent="0.2">
      <c r="A491" s="10" t="str">
        <f>"ENSG00000145569.6"</f>
        <v>ENSG00000145569.6</v>
      </c>
      <c r="B491" s="10">
        <v>-1.0441449338362001</v>
      </c>
      <c r="C491" s="10">
        <v>3.8365671345657</v>
      </c>
      <c r="D491" s="10">
        <v>14.9351145131153</v>
      </c>
      <c r="E491" s="10">
        <v>4.6664754612822396E-3</v>
      </c>
      <c r="F491" s="10" t="str">
        <f>"OTULINL"</f>
        <v>OTULINL</v>
      </c>
      <c r="G491" s="10" t="str">
        <f t="shared" si="16"/>
        <v>protein_coding</v>
      </c>
      <c r="J491" s="14"/>
    </row>
    <row r="492" spans="1:10" x14ac:dyDescent="0.2">
      <c r="A492" s="10" t="str">
        <f>"ENSG00000040731.10"</f>
        <v>ENSG00000040731.10</v>
      </c>
      <c r="B492" s="10">
        <v>-2.1515955925645698</v>
      </c>
      <c r="C492" s="10">
        <v>-0.51643052091167696</v>
      </c>
      <c r="D492" s="10">
        <v>17.870787599217099</v>
      </c>
      <c r="E492" s="10">
        <v>2.7885643918708299E-3</v>
      </c>
      <c r="F492" s="10" t="str">
        <f>"CDH10"</f>
        <v>CDH10</v>
      </c>
      <c r="G492" s="10" t="str">
        <f t="shared" si="16"/>
        <v>protein_coding</v>
      </c>
      <c r="J492" s="14"/>
    </row>
    <row r="493" spans="1:10" x14ac:dyDescent="0.2">
      <c r="A493" s="10" t="str">
        <f>"ENSG00000145604.15"</f>
        <v>ENSG00000145604.15</v>
      </c>
      <c r="B493" s="10">
        <v>1.16725093057951</v>
      </c>
      <c r="C493" s="10">
        <v>3.55078025850093</v>
      </c>
      <c r="D493" s="10">
        <v>12.6431636699748</v>
      </c>
      <c r="E493" s="10">
        <v>7.2992248645267297E-3</v>
      </c>
      <c r="F493" s="10" t="str">
        <f>"SKP2"</f>
        <v>SKP2</v>
      </c>
      <c r="G493" s="10" t="str">
        <f t="shared" si="16"/>
        <v>protein_coding</v>
      </c>
      <c r="J493" s="14"/>
    </row>
    <row r="494" spans="1:10" x14ac:dyDescent="0.2">
      <c r="A494" s="10" t="str">
        <f>"ENSG00000248461.2"</f>
        <v>ENSG00000248461.2</v>
      </c>
      <c r="B494" s="10">
        <v>1.3727209381557699</v>
      </c>
      <c r="C494" s="10">
        <v>2.6998825425639201</v>
      </c>
      <c r="D494" s="10">
        <v>9.6850298538089792</v>
      </c>
      <c r="E494" s="10">
        <v>1.4182478913806E-2</v>
      </c>
      <c r="F494" s="10" t="str">
        <f>"LINC02119"</f>
        <v>LINC02119</v>
      </c>
      <c r="G494" s="10" t="str">
        <f>"lincRNA"</f>
        <v>lincRNA</v>
      </c>
      <c r="J494" s="14"/>
    </row>
    <row r="495" spans="1:10" x14ac:dyDescent="0.2">
      <c r="A495" s="10" t="str">
        <f>"ENSG00000251257.2"</f>
        <v>ENSG00000251257.2</v>
      </c>
      <c r="B495" s="10">
        <v>-1.40800216768872</v>
      </c>
      <c r="C495" s="10">
        <v>2.5426290225211302E-2</v>
      </c>
      <c r="D495" s="10">
        <v>10.872707734778</v>
      </c>
      <c r="E495" s="10">
        <v>1.07130422611173E-2</v>
      </c>
      <c r="F495" s="10" t="str">
        <f>"AC010457.1"</f>
        <v>AC010457.1</v>
      </c>
      <c r="G495" s="10" t="str">
        <f>"antisense"</f>
        <v>antisense</v>
      </c>
      <c r="J495" s="14"/>
    </row>
    <row r="496" spans="1:10" x14ac:dyDescent="0.2">
      <c r="A496" s="10" t="str">
        <f>"ENSG00000132357.14"</f>
        <v>ENSG00000132357.14</v>
      </c>
      <c r="B496" s="10">
        <v>1.2752985679383799</v>
      </c>
      <c r="C496" s="10">
        <v>-9.9266455528292094E-2</v>
      </c>
      <c r="D496" s="10">
        <v>5.6355131918062398</v>
      </c>
      <c r="E496" s="10">
        <v>4.4600287059175701E-2</v>
      </c>
      <c r="F496" s="10" t="str">
        <f>"CARD6"</f>
        <v>CARD6</v>
      </c>
      <c r="G496" s="10" t="str">
        <f>"protein_coding"</f>
        <v>protein_coding</v>
      </c>
      <c r="J496" s="14"/>
    </row>
    <row r="497" spans="1:10" x14ac:dyDescent="0.2">
      <c r="A497" s="10" t="str">
        <f>"ENSG00000083720.13"</f>
        <v>ENSG00000083720.13</v>
      </c>
      <c r="B497" s="10">
        <v>1.1460876898646299</v>
      </c>
      <c r="C497" s="10">
        <v>1.3539878443925399</v>
      </c>
      <c r="D497" s="10">
        <v>6.4627278565572297</v>
      </c>
      <c r="E497" s="10">
        <v>3.4258741400191701E-2</v>
      </c>
      <c r="F497" s="10" t="str">
        <f>"OXCT1"</f>
        <v>OXCT1</v>
      </c>
      <c r="G497" s="10" t="str">
        <f>"protein_coding"</f>
        <v>protein_coding</v>
      </c>
      <c r="J497" s="14"/>
    </row>
    <row r="498" spans="1:10" x14ac:dyDescent="0.2">
      <c r="A498" s="10" t="str">
        <f>"ENSG00000198865.10"</f>
        <v>ENSG00000198865.10</v>
      </c>
      <c r="B498" s="10">
        <v>1.4239378819391499</v>
      </c>
      <c r="C498" s="10">
        <v>1.9102856795549601</v>
      </c>
      <c r="D498" s="10">
        <v>19.8440039624025</v>
      </c>
      <c r="E498" s="10">
        <v>2.06228213862854E-3</v>
      </c>
      <c r="F498" s="10" t="str">
        <f>"CCDC152"</f>
        <v>CCDC152</v>
      </c>
      <c r="G498" s="10" t="str">
        <f>"protein_coding"</f>
        <v>protein_coding</v>
      </c>
      <c r="J498" s="14"/>
    </row>
    <row r="499" spans="1:10" x14ac:dyDescent="0.2">
      <c r="A499" s="10" t="str">
        <f>"ENSG00000250722.6"</f>
        <v>ENSG00000250722.6</v>
      </c>
      <c r="B499" s="10">
        <v>1.5914679420478799</v>
      </c>
      <c r="C499" s="10">
        <v>8.4729114118533797</v>
      </c>
      <c r="D499" s="10">
        <v>13.874960494465</v>
      </c>
      <c r="E499" s="10">
        <v>5.7035338075074197E-3</v>
      </c>
      <c r="F499" s="10" t="str">
        <f>"SELENOP"</f>
        <v>SELENOP</v>
      </c>
      <c r="G499" s="10" t="str">
        <f>"protein_coding"</f>
        <v>protein_coding</v>
      </c>
      <c r="J499" s="14"/>
    </row>
    <row r="500" spans="1:10" x14ac:dyDescent="0.2">
      <c r="A500" s="10" t="str">
        <f>"ENSG00000272382.1"</f>
        <v>ENSG00000272382.1</v>
      </c>
      <c r="B500" s="10">
        <v>-3.0507686430799601</v>
      </c>
      <c r="C500" s="10">
        <v>-2.15277194944963</v>
      </c>
      <c r="D500" s="10">
        <v>8.8746459208271808</v>
      </c>
      <c r="E500" s="10">
        <v>1.7176005666943599E-2</v>
      </c>
      <c r="F500" s="10" t="str">
        <f>"AC025171.5"</f>
        <v>AC025171.5</v>
      </c>
      <c r="G500" s="10" t="str">
        <f>"lincRNA"</f>
        <v>lincRNA</v>
      </c>
      <c r="J500" s="14"/>
    </row>
    <row r="501" spans="1:10" x14ac:dyDescent="0.2">
      <c r="A501" s="10" t="str">
        <f>"ENSG00000251141.5"</f>
        <v>ENSG00000251141.5</v>
      </c>
      <c r="B501" s="10">
        <v>1.4246543068819999</v>
      </c>
      <c r="C501" s="10">
        <v>-0.86632075451862001</v>
      </c>
      <c r="D501" s="10">
        <v>9.4550115835111104</v>
      </c>
      <c r="E501" s="10">
        <v>1.4709637397996699E-2</v>
      </c>
      <c r="F501" s="10" t="str">
        <f>"MRPS30-DT"</f>
        <v>MRPS30-DT</v>
      </c>
      <c r="G501" s="10" t="str">
        <f>"antisense"</f>
        <v>antisense</v>
      </c>
      <c r="J501" s="14"/>
    </row>
    <row r="502" spans="1:10" x14ac:dyDescent="0.2">
      <c r="A502" s="10" t="str">
        <f>"ENSG00000164171.11"</f>
        <v>ENSG00000164171.11</v>
      </c>
      <c r="B502" s="10">
        <v>1.50291664698998</v>
      </c>
      <c r="C502" s="10">
        <v>7.6620224297648196</v>
      </c>
      <c r="D502" s="10">
        <v>10.779145458961301</v>
      </c>
      <c r="E502" s="10">
        <v>1.0946915719056399E-2</v>
      </c>
      <c r="F502" s="10" t="str">
        <f>"ITGA2"</f>
        <v>ITGA2</v>
      </c>
      <c r="G502" s="10" t="str">
        <f>"protein_coding"</f>
        <v>protein_coding</v>
      </c>
      <c r="J502" s="14"/>
    </row>
    <row r="503" spans="1:10" x14ac:dyDescent="0.2">
      <c r="A503" s="10" t="str">
        <f>"ENSG00000164509.14"</f>
        <v>ENSG00000164509.14</v>
      </c>
      <c r="B503" s="10">
        <v>-2.4159012342948998</v>
      </c>
      <c r="C503" s="10">
        <v>-1.67650486772403</v>
      </c>
      <c r="D503" s="10">
        <v>6.5929605211241302</v>
      </c>
      <c r="E503" s="10">
        <v>3.29191280057788E-2</v>
      </c>
      <c r="F503" s="10" t="str">
        <f>"IL31RA"</f>
        <v>IL31RA</v>
      </c>
      <c r="G503" s="10" t="str">
        <f>"protein_coding"</f>
        <v>protein_coding</v>
      </c>
      <c r="J503" s="14"/>
    </row>
    <row r="504" spans="1:10" x14ac:dyDescent="0.2">
      <c r="A504" s="10" t="str">
        <f>"ENSG00000113448.19"</f>
        <v>ENSG00000113448.19</v>
      </c>
      <c r="B504" s="10">
        <v>1.6179831024034399</v>
      </c>
      <c r="C504" s="10">
        <v>3.9943404012525998</v>
      </c>
      <c r="D504" s="10">
        <v>6.0943573891211802</v>
      </c>
      <c r="E504" s="10">
        <v>3.84407111061284E-2</v>
      </c>
      <c r="F504" s="10" t="str">
        <f>"PDE4D"</f>
        <v>PDE4D</v>
      </c>
      <c r="G504" s="10" t="str">
        <f>"protein_coding"</f>
        <v>protein_coding</v>
      </c>
      <c r="J504" s="14"/>
    </row>
    <row r="505" spans="1:10" x14ac:dyDescent="0.2">
      <c r="A505" s="10" t="str">
        <f>"ENSG00000152931.7"</f>
        <v>ENSG00000152931.7</v>
      </c>
      <c r="B505" s="10">
        <v>1.1055999413500399</v>
      </c>
      <c r="C505" s="10">
        <v>2.6325716333009899</v>
      </c>
      <c r="D505" s="10">
        <v>8.3231918871189396</v>
      </c>
      <c r="E505" s="10">
        <v>2.00935817116644E-2</v>
      </c>
      <c r="F505" s="10" t="str">
        <f>"PART1"</f>
        <v>PART1</v>
      </c>
      <c r="G505" s="10" t="str">
        <f>"lincRNA"</f>
        <v>lincRNA</v>
      </c>
      <c r="J505" s="14"/>
    </row>
    <row r="506" spans="1:10" x14ac:dyDescent="0.2">
      <c r="A506" s="10" t="str">
        <f>"ENSG00000268942.2"</f>
        <v>ENSG00000268942.2</v>
      </c>
      <c r="B506" s="10">
        <v>-1.52437814056789</v>
      </c>
      <c r="C506" s="10">
        <v>-0.82224745322766601</v>
      </c>
      <c r="D506" s="10">
        <v>9.0400450585679497</v>
      </c>
      <c r="E506" s="10">
        <v>1.6366205013282401E-2</v>
      </c>
      <c r="F506" s="10" t="str">
        <f>"CKS1BP3"</f>
        <v>CKS1BP3</v>
      </c>
      <c r="G506" s="10" t="str">
        <f>"processed_pseudogene"</f>
        <v>processed_pseudogene</v>
      </c>
      <c r="J506" s="14"/>
    </row>
    <row r="507" spans="1:10" x14ac:dyDescent="0.2">
      <c r="A507" s="10" t="str">
        <f>"ENSG00000186479.4"</f>
        <v>ENSG00000186479.4</v>
      </c>
      <c r="B507" s="10">
        <v>-2.54991140249783</v>
      </c>
      <c r="C507" s="10">
        <v>-1.9403896773672</v>
      </c>
      <c r="D507" s="10">
        <v>6.4766929380485898</v>
      </c>
      <c r="E507" s="10">
        <v>3.4111828991997897E-2</v>
      </c>
      <c r="F507" s="10" t="str">
        <f>"RGS7BP"</f>
        <v>RGS7BP</v>
      </c>
      <c r="G507" s="10" t="str">
        <f>"protein_coding"</f>
        <v>protein_coding</v>
      </c>
      <c r="J507" s="14"/>
    </row>
    <row r="508" spans="1:10" x14ac:dyDescent="0.2">
      <c r="A508" s="10" t="str">
        <f>"ENSG00000049192.15"</f>
        <v>ENSG00000049192.15</v>
      </c>
      <c r="B508" s="10">
        <v>1.52441968140745</v>
      </c>
      <c r="C508" s="10">
        <v>4.3707422981044504</v>
      </c>
      <c r="D508" s="10">
        <v>9.3179340494839806</v>
      </c>
      <c r="E508" s="10">
        <v>1.55317242410735E-2</v>
      </c>
      <c r="F508" s="10" t="str">
        <f>"ADAMTS6"</f>
        <v>ADAMTS6</v>
      </c>
      <c r="G508" s="10" t="str">
        <f>"protein_coding"</f>
        <v>protein_coding</v>
      </c>
      <c r="J508" s="14"/>
    </row>
    <row r="509" spans="1:10" x14ac:dyDescent="0.2">
      <c r="A509" s="10" t="str">
        <f>"ENSG00000269961.1"</f>
        <v>ENSG00000269961.1</v>
      </c>
      <c r="B509" s="10">
        <v>-1.9043976649701999</v>
      </c>
      <c r="C509" s="10">
        <v>-1.3378521681761699</v>
      </c>
      <c r="D509" s="10">
        <v>7.9483901967871304</v>
      </c>
      <c r="E509" s="10">
        <v>2.22273003243358E-2</v>
      </c>
      <c r="F509" s="10" t="str">
        <f>"AC010359.1"</f>
        <v>AC010359.1</v>
      </c>
      <c r="G509" s="10" t="str">
        <f>"lincRNA"</f>
        <v>lincRNA</v>
      </c>
      <c r="J509" s="14"/>
    </row>
    <row r="510" spans="1:10" x14ac:dyDescent="0.2">
      <c r="A510" s="10" t="str">
        <f>"ENSG00000250387.2"</f>
        <v>ENSG00000250387.2</v>
      </c>
      <c r="B510" s="10">
        <v>-2.4519329986765799</v>
      </c>
      <c r="C510" s="10">
        <v>-1.9854611768500501</v>
      </c>
      <c r="D510" s="10">
        <v>7.67049806092525</v>
      </c>
      <c r="E510" s="10">
        <v>2.3773674351447401E-2</v>
      </c>
      <c r="F510" s="10" t="str">
        <f>"LINC02197"</f>
        <v>LINC02197</v>
      </c>
      <c r="G510" s="10" t="str">
        <f>"lincRNA"</f>
        <v>lincRNA</v>
      </c>
      <c r="J510" s="14"/>
    </row>
    <row r="511" spans="1:10" x14ac:dyDescent="0.2">
      <c r="A511" s="10" t="str">
        <f>"ENSG00000271926.1"</f>
        <v>ENSG00000271926.1</v>
      </c>
      <c r="B511" s="10">
        <v>-1.33234042392515</v>
      </c>
      <c r="C511" s="10">
        <v>0.50807726787309504</v>
      </c>
      <c r="D511" s="10">
        <v>7.3678169361888504</v>
      </c>
      <c r="E511" s="10">
        <v>2.6181472100722102E-2</v>
      </c>
      <c r="F511" s="10" t="str">
        <f>"AC008972.1"</f>
        <v>AC008972.1</v>
      </c>
      <c r="G511" s="10" t="str">
        <f>"lincRNA"</f>
        <v>lincRNA</v>
      </c>
      <c r="J511" s="14"/>
    </row>
    <row r="512" spans="1:10" x14ac:dyDescent="0.2">
      <c r="A512" s="10" t="str">
        <f>"ENSG00000272081.1"</f>
        <v>ENSG00000272081.1</v>
      </c>
      <c r="B512" s="10">
        <v>-1.42565086905648</v>
      </c>
      <c r="C512" s="10">
        <v>1.70400689897049</v>
      </c>
      <c r="D512" s="10">
        <v>19.697987969869601</v>
      </c>
      <c r="E512" s="10">
        <v>2.0914317265021999E-3</v>
      </c>
      <c r="F512" s="10" t="str">
        <f>"AC008972.2"</f>
        <v>AC008972.2</v>
      </c>
      <c r="G512" s="10" t="str">
        <f>"lincRNA"</f>
        <v>lincRNA</v>
      </c>
      <c r="J512" s="14"/>
    </row>
    <row r="513" spans="1:10" x14ac:dyDescent="0.2">
      <c r="A513" s="10" t="str">
        <f>"ENSG00000251467.1"</f>
        <v>ENSG00000251467.1</v>
      </c>
      <c r="B513" s="10">
        <v>-2.2414003314252202</v>
      </c>
      <c r="C513" s="10">
        <v>-2.0984620836093102</v>
      </c>
      <c r="D513" s="10">
        <v>5.8725417039734698</v>
      </c>
      <c r="E513" s="10">
        <v>4.1026812641955401E-2</v>
      </c>
      <c r="F513" s="10" t="str">
        <f>"AC020893.2"</f>
        <v>AC020893.2</v>
      </c>
      <c r="G513" s="10" t="str">
        <f>"processed_pseudogene"</f>
        <v>processed_pseudogene</v>
      </c>
      <c r="J513" s="14"/>
    </row>
    <row r="514" spans="1:10" x14ac:dyDescent="0.2">
      <c r="A514" s="10" t="str">
        <f>"ENSG00000251493.5"</f>
        <v>ENSG00000251493.5</v>
      </c>
      <c r="B514" s="10">
        <v>-1.25995253410299</v>
      </c>
      <c r="C514" s="10">
        <v>-0.52038678504854097</v>
      </c>
      <c r="D514" s="10">
        <v>6.3788242065139098</v>
      </c>
      <c r="E514" s="10">
        <v>3.5158478096534898E-2</v>
      </c>
      <c r="F514" s="10" t="str">
        <f>"FOXD1"</f>
        <v>FOXD1</v>
      </c>
      <c r="G514" s="10" t="str">
        <f>"protein_coding"</f>
        <v>protein_coding</v>
      </c>
      <c r="J514" s="14"/>
    </row>
    <row r="515" spans="1:10" x14ac:dyDescent="0.2">
      <c r="A515" s="10" t="str">
        <f>"ENSG00000214944.9"</f>
        <v>ENSG00000214944.9</v>
      </c>
      <c r="B515" s="10">
        <v>1.21373450816043</v>
      </c>
      <c r="C515" s="10">
        <v>5.7549950266814998</v>
      </c>
      <c r="D515" s="10">
        <v>40.051718194709402</v>
      </c>
      <c r="E515" s="10">
        <v>1.9944045225654E-4</v>
      </c>
      <c r="F515" s="10" t="str">
        <f>"ARHGEF28"</f>
        <v>ARHGEF28</v>
      </c>
      <c r="G515" s="10" t="str">
        <f>"protein_coding"</f>
        <v>protein_coding</v>
      </c>
      <c r="J515" s="14"/>
    </row>
    <row r="516" spans="1:10" x14ac:dyDescent="0.2">
      <c r="A516" s="10" t="str">
        <f>"ENSG00000207336.1"</f>
        <v>ENSG00000207336.1</v>
      </c>
      <c r="B516" s="10">
        <v>2.5442253072629701</v>
      </c>
      <c r="C516" s="10">
        <v>-2.06994392962886</v>
      </c>
      <c r="D516" s="10">
        <v>5.5752482908659697</v>
      </c>
      <c r="E516" s="10">
        <v>4.5499943730354403E-2</v>
      </c>
      <c r="F516" s="10" t="str">
        <f>"RNU6-658P"</f>
        <v>RNU6-658P</v>
      </c>
      <c r="G516" s="10" t="str">
        <f>"snRNA"</f>
        <v>snRNA</v>
      </c>
      <c r="J516" s="14"/>
    </row>
    <row r="517" spans="1:10" x14ac:dyDescent="0.2">
      <c r="A517" s="10" t="str">
        <f>"ENSG00000132837.14"</f>
        <v>ENSG00000132837.14</v>
      </c>
      <c r="B517" s="10">
        <v>1.9310596571179299</v>
      </c>
      <c r="C517" s="10">
        <v>2.4499937358415802</v>
      </c>
      <c r="D517" s="10">
        <v>49.928604980758699</v>
      </c>
      <c r="E517" s="13">
        <v>9.1435078602884097E-5</v>
      </c>
      <c r="F517" s="10" t="str">
        <f>"DMGDH"</f>
        <v>DMGDH</v>
      </c>
      <c r="G517" s="10" t="str">
        <f>"protein_coding"</f>
        <v>protein_coding</v>
      </c>
      <c r="J517" s="14"/>
    </row>
    <row r="518" spans="1:10" x14ac:dyDescent="0.2">
      <c r="A518" s="10" t="str">
        <f>"ENSG00000132840.10"</f>
        <v>ENSG00000132840.10</v>
      </c>
      <c r="B518" s="10">
        <v>1.0607491645035201</v>
      </c>
      <c r="C518" s="10">
        <v>4.3547172604551596</v>
      </c>
      <c r="D518" s="10">
        <v>13.8718326509119</v>
      </c>
      <c r="E518" s="10">
        <v>5.7069988638481402E-3</v>
      </c>
      <c r="F518" s="10" t="str">
        <f>"BHMT2"</f>
        <v>BHMT2</v>
      </c>
      <c r="G518" s="10" t="str">
        <f>"protein_coding"</f>
        <v>protein_coding</v>
      </c>
      <c r="J518" s="14"/>
    </row>
    <row r="519" spans="1:10" x14ac:dyDescent="0.2">
      <c r="A519" s="10" t="str">
        <f>"ENSG00000145692.15"</f>
        <v>ENSG00000145692.15</v>
      </c>
      <c r="B519" s="10">
        <v>1.73029967498597</v>
      </c>
      <c r="C519" s="10">
        <v>1.5060475099477999</v>
      </c>
      <c r="D519" s="10">
        <v>15.404960043189901</v>
      </c>
      <c r="E519" s="10">
        <v>4.28278592245153E-3</v>
      </c>
      <c r="F519" s="10" t="str">
        <f>"BHMT"</f>
        <v>BHMT</v>
      </c>
      <c r="G519" s="10" t="str">
        <f>"protein_coding"</f>
        <v>protein_coding</v>
      </c>
      <c r="J519" s="14"/>
    </row>
    <row r="520" spans="1:10" x14ac:dyDescent="0.2">
      <c r="A520" s="10" t="str">
        <f>"ENSG00000249042.5"</f>
        <v>ENSG00000249042.5</v>
      </c>
      <c r="B520" s="10">
        <v>1.10278643116992</v>
      </c>
      <c r="C520" s="10">
        <v>0.28780191374465203</v>
      </c>
      <c r="D520" s="10">
        <v>8.0180210386238304</v>
      </c>
      <c r="E520" s="10">
        <v>2.1697961675894599E-2</v>
      </c>
      <c r="F520" s="10" t="str">
        <f>"AC008771.1"</f>
        <v>AC008771.1</v>
      </c>
      <c r="G520" s="10" t="str">
        <f>"antisense"</f>
        <v>antisense</v>
      </c>
      <c r="J520" s="14"/>
    </row>
    <row r="521" spans="1:10" x14ac:dyDescent="0.2">
      <c r="A521" s="10" t="str">
        <f>"ENSG00000248323.6"</f>
        <v>ENSG00000248323.6</v>
      </c>
      <c r="B521" s="10">
        <v>1.3383256906288801</v>
      </c>
      <c r="C521" s="10">
        <v>3.1559387782734798</v>
      </c>
      <c r="D521" s="10">
        <v>8.1630370163000006</v>
      </c>
      <c r="E521" s="10">
        <v>2.0978801942899299E-2</v>
      </c>
      <c r="F521" s="10" t="str">
        <f>"LUCAT1"</f>
        <v>LUCAT1</v>
      </c>
      <c r="G521" s="10" t="str">
        <f>"antisense"</f>
        <v>antisense</v>
      </c>
      <c r="J521" s="14"/>
    </row>
    <row r="522" spans="1:10" x14ac:dyDescent="0.2">
      <c r="A522" s="10" t="str">
        <f>"ENSG00000249958.1"</f>
        <v>ENSG00000249958.1</v>
      </c>
      <c r="B522" s="10">
        <v>1.8652170883113799</v>
      </c>
      <c r="C522" s="10">
        <v>-0.57934258043879805</v>
      </c>
      <c r="D522" s="10">
        <v>14.5009433348567</v>
      </c>
      <c r="E522" s="10">
        <v>4.9975484891988803E-3</v>
      </c>
      <c r="F522" s="10" t="str">
        <f>"CCT7P2"</f>
        <v>CCT7P2</v>
      </c>
      <c r="G522" s="10" t="str">
        <f>"processed_pseudogene"</f>
        <v>processed_pseudogene</v>
      </c>
      <c r="J522" s="14"/>
    </row>
    <row r="523" spans="1:10" x14ac:dyDescent="0.2">
      <c r="A523" s="10" t="str">
        <f>"ENSG00000237187.8"</f>
        <v>ENSG00000237187.8</v>
      </c>
      <c r="B523" s="10">
        <v>1.1340084537327899</v>
      </c>
      <c r="C523" s="10">
        <v>2.4735344273759101</v>
      </c>
      <c r="D523" s="10">
        <v>7.8235097939167701</v>
      </c>
      <c r="E523" s="10">
        <v>2.3024052615463898E-2</v>
      </c>
      <c r="F523" s="10" t="str">
        <f>"NR2F1-AS1"</f>
        <v>NR2F1-AS1</v>
      </c>
      <c r="G523" s="10" t="str">
        <f>"antisense"</f>
        <v>antisense</v>
      </c>
      <c r="J523" s="14"/>
    </row>
    <row r="524" spans="1:10" x14ac:dyDescent="0.2">
      <c r="A524" s="10" t="str">
        <f>"ENSG00000251348.1"</f>
        <v>ENSG00000251348.1</v>
      </c>
      <c r="B524" s="10">
        <v>1.62102918507306</v>
      </c>
      <c r="C524" s="10">
        <v>-1.02225798776057</v>
      </c>
      <c r="D524" s="10">
        <v>10.627246575223699</v>
      </c>
      <c r="E524" s="10">
        <v>1.10798822035515E-2</v>
      </c>
      <c r="F524" s="10" t="str">
        <f>"HSPD1P11"</f>
        <v>HSPD1P11</v>
      </c>
      <c r="G524" s="10" t="str">
        <f>"processed_pseudogene"</f>
        <v>processed_pseudogene</v>
      </c>
      <c r="J524" s="14"/>
    </row>
    <row r="525" spans="1:10" x14ac:dyDescent="0.2">
      <c r="A525" s="10" t="str">
        <f>"ENSG00000236882.7"</f>
        <v>ENSG00000236882.7</v>
      </c>
      <c r="B525" s="10">
        <v>-1.6892585885240301</v>
      </c>
      <c r="C525" s="10">
        <v>-6.2198670575161798E-2</v>
      </c>
      <c r="D525" s="10">
        <v>7.5904289346451996</v>
      </c>
      <c r="E525" s="10">
        <v>2.45750658500032E-2</v>
      </c>
      <c r="F525" s="10" t="str">
        <f>"LINC01554"</f>
        <v>LINC01554</v>
      </c>
      <c r="G525" s="10" t="str">
        <f>"lincRNA"</f>
        <v>lincRNA</v>
      </c>
      <c r="J525" s="14"/>
    </row>
    <row r="526" spans="1:10" x14ac:dyDescent="0.2">
      <c r="A526" s="10" t="str">
        <f>"ENSG00000133835.15"</f>
        <v>ENSG00000133835.15</v>
      </c>
      <c r="B526" s="10">
        <v>1.14869830149847</v>
      </c>
      <c r="C526" s="10">
        <v>6.7520552251820503</v>
      </c>
      <c r="D526" s="10">
        <v>11.932093181212799</v>
      </c>
      <c r="E526" s="10">
        <v>8.4782146615342193E-3</v>
      </c>
      <c r="F526" s="10" t="str">
        <f>"HSD17B4"</f>
        <v>HSD17B4</v>
      </c>
      <c r="G526" s="10" t="str">
        <f>"protein_coding"</f>
        <v>protein_coding</v>
      </c>
      <c r="J526" s="14"/>
    </row>
    <row r="527" spans="1:10" x14ac:dyDescent="0.2">
      <c r="A527" s="10" t="str">
        <f>"ENSG00000250328.5"</f>
        <v>ENSG00000250328.5</v>
      </c>
      <c r="B527" s="10">
        <v>3.6376521294592101</v>
      </c>
      <c r="C527" s="10">
        <v>-1.9643089498959201</v>
      </c>
      <c r="D527" s="10">
        <v>12.7595406357913</v>
      </c>
      <c r="E527" s="10">
        <v>7.1263112446172004E-3</v>
      </c>
      <c r="F527" s="10" t="str">
        <f>"AC022101.1"</f>
        <v>AC022101.1</v>
      </c>
      <c r="G527" s="10" t="str">
        <f>"antisense"</f>
        <v>antisense</v>
      </c>
      <c r="J527" s="14"/>
    </row>
    <row r="528" spans="1:10" x14ac:dyDescent="0.2">
      <c r="A528" s="10" t="str">
        <f>"ENSG00000155324.9"</f>
        <v>ENSG00000155324.9</v>
      </c>
      <c r="B528" s="10">
        <v>1.12820388542563</v>
      </c>
      <c r="C528" s="10">
        <v>3.24655886299188</v>
      </c>
      <c r="D528" s="10">
        <v>13.271286040795401</v>
      </c>
      <c r="E528" s="10">
        <v>6.4241285999708702E-3</v>
      </c>
      <c r="F528" s="10" t="str">
        <f>"GRAMD2B"</f>
        <v>GRAMD2B</v>
      </c>
      <c r="G528" s="10" t="str">
        <f>"protein_coding"</f>
        <v>protein_coding</v>
      </c>
      <c r="J528" s="14"/>
    </row>
    <row r="529" spans="1:10" x14ac:dyDescent="0.2">
      <c r="A529" s="10" t="str">
        <f>"ENSG00000138829.12"</f>
        <v>ENSG00000138829.12</v>
      </c>
      <c r="B529" s="10">
        <v>-1.88846901792963</v>
      </c>
      <c r="C529" s="10">
        <v>5.2393690177701604</v>
      </c>
      <c r="D529" s="10">
        <v>9.6791983148047702</v>
      </c>
      <c r="E529" s="10">
        <v>1.42027345226424E-2</v>
      </c>
      <c r="F529" s="10" t="str">
        <f>"FBN2"</f>
        <v>FBN2</v>
      </c>
      <c r="G529" s="10" t="str">
        <f>"protein_coding"</f>
        <v>protein_coding</v>
      </c>
      <c r="J529" s="14"/>
    </row>
    <row r="530" spans="1:10" x14ac:dyDescent="0.2">
      <c r="A530" s="10" t="str">
        <f>"ENSG00000164398.13"</f>
        <v>ENSG00000164398.13</v>
      </c>
      <c r="B530" s="10">
        <v>-1.1062423534469601</v>
      </c>
      <c r="C530" s="10">
        <v>1.8639126334234799</v>
      </c>
      <c r="D530" s="10">
        <v>7.1053715376909796</v>
      </c>
      <c r="E530" s="10">
        <v>2.82495623849278E-2</v>
      </c>
      <c r="F530" s="10" t="str">
        <f>"ACSL6"</f>
        <v>ACSL6</v>
      </c>
      <c r="G530" s="10" t="str">
        <f>"protein_coding"</f>
        <v>protein_coding</v>
      </c>
      <c r="J530" s="14"/>
    </row>
    <row r="531" spans="1:10" x14ac:dyDescent="0.2">
      <c r="A531" s="10" t="str">
        <f>"ENSG00000145826.9"</f>
        <v>ENSG00000145826.9</v>
      </c>
      <c r="B531" s="10">
        <v>-1.36939466137101</v>
      </c>
      <c r="C531" s="10">
        <v>2.48270626308013</v>
      </c>
      <c r="D531" s="10">
        <v>28.368294892571502</v>
      </c>
      <c r="E531" s="10">
        <v>6.4081772911820897E-4</v>
      </c>
      <c r="F531" s="10" t="str">
        <f>"LECT2"</f>
        <v>LECT2</v>
      </c>
      <c r="G531" s="10" t="str">
        <f>"protein_coding"</f>
        <v>protein_coding</v>
      </c>
      <c r="J531" s="14"/>
    </row>
    <row r="532" spans="1:10" x14ac:dyDescent="0.2">
      <c r="A532" s="10" t="str">
        <f>"ENSG00000164616.16"</f>
        <v>ENSG00000164616.16</v>
      </c>
      <c r="B532" s="10">
        <v>-1.0092467788016799</v>
      </c>
      <c r="C532" s="10">
        <v>5.7020419427438496</v>
      </c>
      <c r="D532" s="10">
        <v>27.7156908055623</v>
      </c>
      <c r="E532" s="10">
        <v>6.9150744631727497E-4</v>
      </c>
      <c r="F532" s="10" t="str">
        <f>"FBXL21P"</f>
        <v>FBXL21P</v>
      </c>
      <c r="G532" s="10" t="str">
        <f>"transcribed_unitary_pseudogene"</f>
        <v>transcribed_unitary_pseudogene</v>
      </c>
      <c r="J532" s="14"/>
    </row>
    <row r="533" spans="1:10" x14ac:dyDescent="0.2">
      <c r="A533" s="10" t="str">
        <f>"ENSG00000271824.1"</f>
        <v>ENSG00000271824.1</v>
      </c>
      <c r="B533" s="10">
        <v>-1.3891766753216199</v>
      </c>
      <c r="C533" s="10">
        <v>-0.18246762338174699</v>
      </c>
      <c r="D533" s="10">
        <v>12.941424756317099</v>
      </c>
      <c r="E533" s="10">
        <v>6.6768954150715704E-3</v>
      </c>
      <c r="F533" s="10" t="str">
        <f>"SMIM32"</f>
        <v>SMIM32</v>
      </c>
      <c r="G533" s="10" t="str">
        <f>"protein_coding"</f>
        <v>protein_coding</v>
      </c>
      <c r="J533" s="14"/>
    </row>
    <row r="534" spans="1:10" x14ac:dyDescent="0.2">
      <c r="A534" s="10" t="str">
        <f>"ENSG00000113108.19"</f>
        <v>ENSG00000113108.19</v>
      </c>
      <c r="B534" s="10">
        <v>-1.04189115246867</v>
      </c>
      <c r="C534" s="10">
        <v>0.42290021787971199</v>
      </c>
      <c r="D534" s="10">
        <v>7.9865479881661798</v>
      </c>
      <c r="E534" s="10">
        <v>2.1747675035887998E-2</v>
      </c>
      <c r="F534" s="10" t="str">
        <f>"APBB3"</f>
        <v>APBB3</v>
      </c>
      <c r="G534" s="10" t="str">
        <f>"protein_coding"</f>
        <v>protein_coding</v>
      </c>
      <c r="J534" s="14"/>
    </row>
    <row r="535" spans="1:10" x14ac:dyDescent="0.2">
      <c r="A535" s="10" t="str">
        <f>"ENSG00000272070.1"</f>
        <v>ENSG00000272070.1</v>
      </c>
      <c r="B535" s="10">
        <v>1.58827203905063</v>
      </c>
      <c r="C535" s="10">
        <v>2.1364318858226598E-3</v>
      </c>
      <c r="D535" s="10">
        <v>13.5123040776697</v>
      </c>
      <c r="E535" s="10">
        <v>6.1234830188021698E-3</v>
      </c>
      <c r="F535" s="10" t="str">
        <f>"AC005618.1"</f>
        <v>AC005618.1</v>
      </c>
      <c r="G535" s="10" t="str">
        <f>"lincRNA"</f>
        <v>lincRNA</v>
      </c>
      <c r="J535" s="14"/>
    </row>
    <row r="536" spans="1:10" x14ac:dyDescent="0.2">
      <c r="A536" s="10" t="str">
        <f>"ENSG00000204956.5"</f>
        <v>ENSG00000204956.5</v>
      </c>
      <c r="B536" s="10">
        <v>1.97985928776897</v>
      </c>
      <c r="C536" s="10">
        <v>-0.50470069927718098</v>
      </c>
      <c r="D536" s="10">
        <v>13.7364651339525</v>
      </c>
      <c r="E536" s="10">
        <v>5.8595189233496001E-3</v>
      </c>
      <c r="F536" s="10" t="str">
        <f>"PCDHGA1"</f>
        <v>PCDHGA1</v>
      </c>
      <c r="G536" s="10" t="str">
        <f t="shared" ref="G536:G548" si="17">"protein_coding"</f>
        <v>protein_coding</v>
      </c>
      <c r="J536" s="14"/>
    </row>
    <row r="537" spans="1:10" x14ac:dyDescent="0.2">
      <c r="A537" s="10" t="str">
        <f>"ENSG00000253910.2"</f>
        <v>ENSG00000253910.2</v>
      </c>
      <c r="B537" s="10">
        <v>1.0637167308033</v>
      </c>
      <c r="C537" s="10">
        <v>1.03235024897755</v>
      </c>
      <c r="D537" s="10">
        <v>5.6712273553868799</v>
      </c>
      <c r="E537" s="10">
        <v>4.4077788013008802E-2</v>
      </c>
      <c r="F537" s="10" t="str">
        <f>"PCDHGB2"</f>
        <v>PCDHGB2</v>
      </c>
      <c r="G537" s="10" t="str">
        <f t="shared" si="17"/>
        <v>protein_coding</v>
      </c>
      <c r="J537" s="14"/>
    </row>
    <row r="538" spans="1:10" x14ac:dyDescent="0.2">
      <c r="A538" s="10" t="str">
        <f>"ENSG00000156463.18"</f>
        <v>ENSG00000156463.18</v>
      </c>
      <c r="B538" s="10">
        <v>1.04011108408204</v>
      </c>
      <c r="C538" s="10">
        <v>2.6657147549611899</v>
      </c>
      <c r="D538" s="10">
        <v>11.0501970610649</v>
      </c>
      <c r="E538" s="10">
        <v>1.02930333947509E-2</v>
      </c>
      <c r="F538" s="10" t="str">
        <f>"SH3RF2"</f>
        <v>SH3RF2</v>
      </c>
      <c r="G538" s="10" t="str">
        <f t="shared" si="17"/>
        <v>protein_coding</v>
      </c>
      <c r="J538" s="14"/>
    </row>
    <row r="539" spans="1:10" x14ac:dyDescent="0.2">
      <c r="A539" s="10" t="str">
        <f>"ENSG00000156475.18"</f>
        <v>ENSG00000156475.18</v>
      </c>
      <c r="B539" s="10">
        <v>-1.9660266382407201</v>
      </c>
      <c r="C539" s="10">
        <v>-1.1392438210939499</v>
      </c>
      <c r="D539" s="10">
        <v>7.6250644384340198</v>
      </c>
      <c r="E539" s="10">
        <v>2.4336426737167498E-2</v>
      </c>
      <c r="F539" s="10" t="str">
        <f>"PPP2R2B"</f>
        <v>PPP2R2B</v>
      </c>
      <c r="G539" s="10" t="str">
        <f t="shared" si="17"/>
        <v>protein_coding</v>
      </c>
      <c r="J539" s="14"/>
    </row>
    <row r="540" spans="1:10" x14ac:dyDescent="0.2">
      <c r="A540" s="10" t="str">
        <f>"ENSG00000164266.10"</f>
        <v>ENSG00000164266.10</v>
      </c>
      <c r="B540" s="10">
        <v>5.9097684442551204</v>
      </c>
      <c r="C540" s="10">
        <v>3.9952551818562698</v>
      </c>
      <c r="D540" s="10">
        <v>158.35033916000299</v>
      </c>
      <c r="E540" s="13">
        <v>1.3380576604615001E-6</v>
      </c>
      <c r="F540" s="10" t="str">
        <f>"SPINK1"</f>
        <v>SPINK1</v>
      </c>
      <c r="G540" s="10" t="str">
        <f t="shared" si="17"/>
        <v>protein_coding</v>
      </c>
      <c r="J540" s="14"/>
    </row>
    <row r="541" spans="1:10" x14ac:dyDescent="0.2">
      <c r="A541" s="10" t="str">
        <f>"ENSG00000169252.5"</f>
        <v>ENSG00000169252.5</v>
      </c>
      <c r="B541" s="10">
        <v>-2.43582726985675</v>
      </c>
      <c r="C541" s="10">
        <v>0.26980865719284303</v>
      </c>
      <c r="D541" s="10">
        <v>11.502551274315</v>
      </c>
      <c r="E541" s="10">
        <v>9.3071394598894797E-3</v>
      </c>
      <c r="F541" s="10" t="str">
        <f>"ADRB2"</f>
        <v>ADRB2</v>
      </c>
      <c r="G541" s="10" t="str">
        <f t="shared" si="17"/>
        <v>protein_coding</v>
      </c>
      <c r="J541" s="14"/>
    </row>
    <row r="542" spans="1:10" x14ac:dyDescent="0.2">
      <c r="A542" s="10" t="str">
        <f>"ENSG00000157510.14"</f>
        <v>ENSG00000157510.14</v>
      </c>
      <c r="B542" s="10">
        <v>-1.2490405829240701</v>
      </c>
      <c r="C542" s="10">
        <v>3.2928782142930199E-2</v>
      </c>
      <c r="D542" s="10">
        <v>10.503041724159599</v>
      </c>
      <c r="E542" s="10">
        <v>1.14068804618426E-2</v>
      </c>
      <c r="F542" s="10" t="str">
        <f>"AFAP1L1"</f>
        <v>AFAP1L1</v>
      </c>
      <c r="G542" s="10" t="str">
        <f t="shared" si="17"/>
        <v>protein_coding</v>
      </c>
      <c r="J542" s="14"/>
    </row>
    <row r="543" spans="1:10" x14ac:dyDescent="0.2">
      <c r="A543" s="10" t="str">
        <f>"ENSG00000145882.11"</f>
        <v>ENSG00000145882.11</v>
      </c>
      <c r="B543" s="10">
        <v>-1.9234429224569001</v>
      </c>
      <c r="C543" s="10">
        <v>2.8670080412823702</v>
      </c>
      <c r="D543" s="10">
        <v>22.208623967391201</v>
      </c>
      <c r="E543" s="10">
        <v>1.46657337583003E-3</v>
      </c>
      <c r="F543" s="10" t="str">
        <f>"PCYOX1L"</f>
        <v>PCYOX1L</v>
      </c>
      <c r="G543" s="10" t="str">
        <f t="shared" si="17"/>
        <v>protein_coding</v>
      </c>
      <c r="J543" s="14"/>
    </row>
    <row r="544" spans="1:10" x14ac:dyDescent="0.2">
      <c r="A544" s="10" t="str">
        <f>"ENSG00000127743.6"</f>
        <v>ENSG00000127743.6</v>
      </c>
      <c r="B544" s="10">
        <v>-1.79385025867226</v>
      </c>
      <c r="C544" s="10">
        <v>0.227908308664276</v>
      </c>
      <c r="D544" s="10">
        <v>19.838012987969901</v>
      </c>
      <c r="E544" s="10">
        <v>2.0146896912702E-3</v>
      </c>
      <c r="F544" s="10" t="str">
        <f>"IL17B"</f>
        <v>IL17B</v>
      </c>
      <c r="G544" s="10" t="str">
        <f t="shared" si="17"/>
        <v>protein_coding</v>
      </c>
      <c r="J544" s="14"/>
    </row>
    <row r="545" spans="1:10" x14ac:dyDescent="0.2">
      <c r="A545" s="10" t="str">
        <f>"ENSG00000113721.14"</f>
        <v>ENSG00000113721.14</v>
      </c>
      <c r="B545" s="10">
        <v>1.3759478263660001</v>
      </c>
      <c r="C545" s="10">
        <v>1.72985414496332</v>
      </c>
      <c r="D545" s="10">
        <v>16.559525004892201</v>
      </c>
      <c r="E545" s="10">
        <v>3.4948655784238498E-3</v>
      </c>
      <c r="F545" s="10" t="str">
        <f>"PDGFRB"</f>
        <v>PDGFRB</v>
      </c>
      <c r="G545" s="10" t="str">
        <f t="shared" si="17"/>
        <v>protein_coding</v>
      </c>
      <c r="J545" s="14"/>
    </row>
    <row r="546" spans="1:10" x14ac:dyDescent="0.2">
      <c r="A546" s="10" t="str">
        <f>"ENSG00000211445.12"</f>
        <v>ENSG00000211445.12</v>
      </c>
      <c r="B546" s="10">
        <v>1.5052232912466701</v>
      </c>
      <c r="C546" s="10">
        <v>7.5135593314286604</v>
      </c>
      <c r="D546" s="10">
        <v>31.116405616288901</v>
      </c>
      <c r="E546" s="10">
        <v>5.0102351113015195E-4</v>
      </c>
      <c r="F546" s="10" t="str">
        <f>"GPX3"</f>
        <v>GPX3</v>
      </c>
      <c r="G546" s="10" t="str">
        <f t="shared" si="17"/>
        <v>protein_coding</v>
      </c>
      <c r="J546" s="14"/>
    </row>
    <row r="547" spans="1:10" x14ac:dyDescent="0.2">
      <c r="A547" s="10" t="str">
        <f>"ENSG00000196743.8"</f>
        <v>ENSG00000196743.8</v>
      </c>
      <c r="B547" s="10">
        <v>-1.1569705236400001</v>
      </c>
      <c r="C547" s="10">
        <v>8.84478447254833</v>
      </c>
      <c r="D547" s="10">
        <v>6.7158786606608203</v>
      </c>
      <c r="E547" s="10">
        <v>3.1714997967195499E-2</v>
      </c>
      <c r="F547" s="10" t="str">
        <f>"GM2A"</f>
        <v>GM2A</v>
      </c>
      <c r="G547" s="10" t="str">
        <f t="shared" si="17"/>
        <v>protein_coding</v>
      </c>
      <c r="J547" s="14"/>
    </row>
    <row r="548" spans="1:10" x14ac:dyDescent="0.2">
      <c r="A548" s="10" t="str">
        <f>"ENSG00000113140.11"</f>
        <v>ENSG00000113140.11</v>
      </c>
      <c r="B548" s="10">
        <v>-1.0971001648220899</v>
      </c>
      <c r="C548" s="10">
        <v>4.47192867162412</v>
      </c>
      <c r="D548" s="10">
        <v>24.273582406458502</v>
      </c>
      <c r="E548" s="10">
        <v>1.10328184237955E-3</v>
      </c>
      <c r="F548" s="10" t="str">
        <f>"SPARC"</f>
        <v>SPARC</v>
      </c>
      <c r="G548" s="10" t="str">
        <f t="shared" si="17"/>
        <v>protein_coding</v>
      </c>
      <c r="J548" s="14"/>
    </row>
    <row r="549" spans="1:10" x14ac:dyDescent="0.2">
      <c r="A549" s="10" t="str">
        <f>"ENSG00000253921.1"</f>
        <v>ENSG00000253921.1</v>
      </c>
      <c r="B549" s="10">
        <v>-1.83832350195217</v>
      </c>
      <c r="C549" s="10">
        <v>-1.5535023871009199</v>
      </c>
      <c r="D549" s="10">
        <v>5.3366014126256696</v>
      </c>
      <c r="E549" s="10">
        <v>4.9297633771001603E-2</v>
      </c>
      <c r="F549" s="10" t="str">
        <f>"AC091982.1"</f>
        <v>AC091982.1</v>
      </c>
      <c r="G549" s="10" t="str">
        <f>"antisense"</f>
        <v>antisense</v>
      </c>
      <c r="J549" s="14"/>
    </row>
    <row r="550" spans="1:10" x14ac:dyDescent="0.2">
      <c r="A550" s="10" t="str">
        <f>"ENSG00000113196.3"</f>
        <v>ENSG00000113196.3</v>
      </c>
      <c r="B550" s="10">
        <v>-2.0022779260607</v>
      </c>
      <c r="C550" s="10">
        <v>-0.43757978799091102</v>
      </c>
      <c r="D550" s="10">
        <v>12.3943031862072</v>
      </c>
      <c r="E550" s="10">
        <v>7.6869810783569501E-3</v>
      </c>
      <c r="F550" s="10" t="str">
        <f>"HAND1"</f>
        <v>HAND1</v>
      </c>
      <c r="G550" s="10" t="str">
        <f>"protein_coding"</f>
        <v>protein_coding</v>
      </c>
      <c r="J550" s="14"/>
    </row>
    <row r="551" spans="1:10" x14ac:dyDescent="0.2">
      <c r="A551" s="10" t="str">
        <f>"ENSG00000113249.12"</f>
        <v>ENSG00000113249.12</v>
      </c>
      <c r="B551" s="10">
        <v>1.19569183409915</v>
      </c>
      <c r="C551" s="10">
        <v>1.26058559910767</v>
      </c>
      <c r="D551" s="10">
        <v>15.306967112495499</v>
      </c>
      <c r="E551" s="10">
        <v>4.2183759227719803E-3</v>
      </c>
      <c r="F551" s="10" t="str">
        <f>"HAVCR1"</f>
        <v>HAVCR1</v>
      </c>
      <c r="G551" s="10" t="str">
        <f>"protein_coding"</f>
        <v>protein_coding</v>
      </c>
      <c r="J551" s="14"/>
    </row>
    <row r="552" spans="1:10" x14ac:dyDescent="0.2">
      <c r="A552" s="10" t="str">
        <f>"ENSG00000221886.4"</f>
        <v>ENSG00000221886.4</v>
      </c>
      <c r="B552" s="10">
        <v>1.0289200209435301</v>
      </c>
      <c r="C552" s="10">
        <v>1.83874803080961</v>
      </c>
      <c r="D552" s="10">
        <v>9.2265825986130299</v>
      </c>
      <c r="E552" s="10">
        <v>1.58922735842419E-2</v>
      </c>
      <c r="F552" s="10" t="str">
        <f>"ZBED8"</f>
        <v>ZBED8</v>
      </c>
      <c r="G552" s="10" t="str">
        <f>"protein_coding"</f>
        <v>protein_coding</v>
      </c>
      <c r="J552" s="14"/>
    </row>
    <row r="553" spans="1:10" x14ac:dyDescent="0.2">
      <c r="A553" s="10" t="str">
        <f>"ENSG00000253522.6"</f>
        <v>ENSG00000253522.6</v>
      </c>
      <c r="B553" s="10">
        <v>2.7296931307113499</v>
      </c>
      <c r="C553" s="10">
        <v>2.9662950298411199</v>
      </c>
      <c r="D553" s="10">
        <v>12.8692768545836</v>
      </c>
      <c r="E553" s="10">
        <v>6.9679404417874102E-3</v>
      </c>
      <c r="F553" s="10" t="str">
        <f>"MIR3142HG"</f>
        <v>MIR3142HG</v>
      </c>
      <c r="G553" s="10" t="str">
        <f>"lincRNA"</f>
        <v>lincRNA</v>
      </c>
      <c r="J553" s="14"/>
    </row>
    <row r="554" spans="1:10" x14ac:dyDescent="0.2">
      <c r="A554" s="10" t="str">
        <f>"ENSG00000254186.2"</f>
        <v>ENSG00000254186.2</v>
      </c>
      <c r="B554" s="10">
        <v>-1.4258268294154199</v>
      </c>
      <c r="C554" s="10">
        <v>-0.21960520352648499</v>
      </c>
      <c r="D554" s="10">
        <v>11.4580020774556</v>
      </c>
      <c r="E554" s="10">
        <v>9.1772002690539596E-3</v>
      </c>
      <c r="F554" s="10" t="str">
        <f>"AC113414.1"</f>
        <v>AC113414.1</v>
      </c>
      <c r="G554" s="10" t="str">
        <f>"antisense"</f>
        <v>antisense</v>
      </c>
      <c r="J554" s="14"/>
    </row>
    <row r="555" spans="1:10" x14ac:dyDescent="0.2">
      <c r="A555" s="10" t="str">
        <f>"ENSG00000156427.8"</f>
        <v>ENSG00000156427.8</v>
      </c>
      <c r="B555" s="10">
        <v>-2.6459068674769499</v>
      </c>
      <c r="C555" s="10">
        <v>-1.5522902929151301</v>
      </c>
      <c r="D555" s="10">
        <v>13.6781421718355</v>
      </c>
      <c r="E555" s="10">
        <v>5.7543646875231197E-3</v>
      </c>
      <c r="F555" s="10" t="str">
        <f>"FGF18"</f>
        <v>FGF18</v>
      </c>
      <c r="G555" s="10" t="str">
        <f>"protein_coding"</f>
        <v>protein_coding</v>
      </c>
      <c r="J555" s="14"/>
    </row>
    <row r="556" spans="1:10" x14ac:dyDescent="0.2">
      <c r="A556" s="10" t="str">
        <f>"ENSG00000113734.17"</f>
        <v>ENSG00000113734.17</v>
      </c>
      <c r="B556" s="10">
        <v>1.1140694219029199</v>
      </c>
      <c r="C556" s="10">
        <v>2.6339328908966602</v>
      </c>
      <c r="D556" s="10">
        <v>9.9367819651331306</v>
      </c>
      <c r="E556" s="10">
        <v>1.3341597550524499E-2</v>
      </c>
      <c r="F556" s="10" t="str">
        <f>"BNIP1"</f>
        <v>BNIP1</v>
      </c>
      <c r="G556" s="10" t="str">
        <f>"protein_coding"</f>
        <v>protein_coding</v>
      </c>
      <c r="J556" s="14"/>
    </row>
    <row r="557" spans="1:10" x14ac:dyDescent="0.2">
      <c r="A557" s="10" t="str">
        <f>"ENSG00000253686.1"</f>
        <v>ENSG00000253686.1</v>
      </c>
      <c r="B557" s="10">
        <v>1.0311596184673599</v>
      </c>
      <c r="C557" s="10">
        <v>3.5986028260229901</v>
      </c>
      <c r="D557" s="10">
        <v>21.612641162348901</v>
      </c>
      <c r="E557" s="10">
        <v>1.5240418673928E-3</v>
      </c>
      <c r="F557" s="10" t="str">
        <f>"LINC01484"</f>
        <v>LINC01484</v>
      </c>
      <c r="G557" s="10" t="str">
        <f>"lincRNA"</f>
        <v>lincRNA</v>
      </c>
      <c r="J557" s="14"/>
    </row>
    <row r="558" spans="1:10" x14ac:dyDescent="0.2">
      <c r="A558" s="10" t="str">
        <f>"ENSG00000254211.5"</f>
        <v>ENSG00000254211.5</v>
      </c>
      <c r="B558" s="10">
        <v>2.0335832540244199</v>
      </c>
      <c r="C558" s="10">
        <v>-0.75913117184047596</v>
      </c>
      <c r="D558" s="10">
        <v>7.8498503152390899</v>
      </c>
      <c r="E558" s="10">
        <v>2.2856630097377401E-2</v>
      </c>
      <c r="F558" s="10" t="str">
        <f>"LINC01485"</f>
        <v>LINC01485</v>
      </c>
      <c r="G558" s="10" t="str">
        <f>"lincRNA"</f>
        <v>lincRNA</v>
      </c>
      <c r="J558" s="14"/>
    </row>
    <row r="559" spans="1:10" x14ac:dyDescent="0.2">
      <c r="A559" s="10" t="str">
        <f>"ENSG00000145920.15"</f>
        <v>ENSG00000145920.15</v>
      </c>
      <c r="B559" s="10">
        <v>1.1798739380927199</v>
      </c>
      <c r="C559" s="10">
        <v>6.3889102404360001</v>
      </c>
      <c r="D559" s="10">
        <v>34.484757809514001</v>
      </c>
      <c r="E559" s="10">
        <v>3.3459104148184999E-4</v>
      </c>
      <c r="F559" s="10" t="str">
        <f>"CPLX2"</f>
        <v>CPLX2</v>
      </c>
      <c r="G559" s="10" t="str">
        <f>"protein_coding"</f>
        <v>protein_coding</v>
      </c>
      <c r="J559" s="14"/>
    </row>
    <row r="560" spans="1:10" x14ac:dyDescent="0.2">
      <c r="A560" s="10" t="str">
        <f>"ENSG00000074276.10"</f>
        <v>ENSG00000074276.10</v>
      </c>
      <c r="B560" s="10">
        <v>1.2342913172926799</v>
      </c>
      <c r="C560" s="10">
        <v>4.99443461432256</v>
      </c>
      <c r="D560" s="10">
        <v>6.0065829405025104</v>
      </c>
      <c r="E560" s="10">
        <v>3.95312741231253E-2</v>
      </c>
      <c r="F560" s="10" t="str">
        <f>"CDHR2"</f>
        <v>CDHR2</v>
      </c>
      <c r="G560" s="10" t="str">
        <f>"protein_coding"</f>
        <v>protein_coding</v>
      </c>
      <c r="J560" s="14"/>
    </row>
    <row r="561" spans="1:10" x14ac:dyDescent="0.2">
      <c r="A561" s="10" t="str">
        <f>"ENSG00000113763.12"</f>
        <v>ENSG00000113763.12</v>
      </c>
      <c r="B561" s="10">
        <v>-2.85644688837733</v>
      </c>
      <c r="C561" s="10">
        <v>-0.39760530143524198</v>
      </c>
      <c r="D561" s="10">
        <v>14.763900069805</v>
      </c>
      <c r="E561" s="10">
        <v>4.8169256382959496E-3</v>
      </c>
      <c r="F561" s="10" t="str">
        <f>"UNC5A"</f>
        <v>UNC5A</v>
      </c>
      <c r="G561" s="10" t="str">
        <f>"protein_coding"</f>
        <v>protein_coding</v>
      </c>
      <c r="J561" s="14"/>
    </row>
    <row r="562" spans="1:10" x14ac:dyDescent="0.2">
      <c r="A562" s="10" t="str">
        <f>"ENSG00000252464.1"</f>
        <v>ENSG00000252464.1</v>
      </c>
      <c r="B562" s="10">
        <v>1.5921552684167899</v>
      </c>
      <c r="C562" s="10">
        <v>-1.0308520159822301</v>
      </c>
      <c r="D562" s="10">
        <v>5.3325204370827102</v>
      </c>
      <c r="E562" s="10">
        <v>4.9366017385082797E-2</v>
      </c>
      <c r="F562" s="10" t="str">
        <f>"RN7SKP70"</f>
        <v>RN7SKP70</v>
      </c>
      <c r="G562" s="10" t="str">
        <f>"misc_RNA"</f>
        <v>misc_RNA</v>
      </c>
      <c r="J562" s="14"/>
    </row>
    <row r="563" spans="1:10" x14ac:dyDescent="0.2">
      <c r="A563" s="10" t="str">
        <f>"ENSG00000204661.9"</f>
        <v>ENSG00000204661.9</v>
      </c>
      <c r="B563" s="10">
        <v>-1.66935770153514</v>
      </c>
      <c r="C563" s="10">
        <v>-0.33048206747821002</v>
      </c>
      <c r="D563" s="10">
        <v>7.0385412811412102</v>
      </c>
      <c r="E563" s="10">
        <v>2.8808854205917899E-2</v>
      </c>
      <c r="F563" s="10" t="str">
        <f>"C5orf60"</f>
        <v>C5orf60</v>
      </c>
      <c r="G563" s="10" t="str">
        <f t="shared" ref="G563:G568" si="18">"protein_coding"</f>
        <v>protein_coding</v>
      </c>
      <c r="J563" s="14"/>
    </row>
    <row r="564" spans="1:10" x14ac:dyDescent="0.2">
      <c r="A564" s="10" t="str">
        <f>"ENSG00000131459.13"</f>
        <v>ENSG00000131459.13</v>
      </c>
      <c r="B564" s="10">
        <v>-1.6470690551229299</v>
      </c>
      <c r="C564" s="10">
        <v>-0.58597173795774604</v>
      </c>
      <c r="D564" s="10">
        <v>8.8088133236070103</v>
      </c>
      <c r="E564" s="10">
        <v>1.7681954044605101E-2</v>
      </c>
      <c r="F564" s="10" t="str">
        <f>"GFPT2"</f>
        <v>GFPT2</v>
      </c>
      <c r="G564" s="10" t="str">
        <f t="shared" si="18"/>
        <v>protein_coding</v>
      </c>
      <c r="J564" s="14"/>
    </row>
    <row r="565" spans="1:10" x14ac:dyDescent="0.2">
      <c r="A565" s="10" t="str">
        <f>"ENSG00000161055.4"</f>
        <v>ENSG00000161055.4</v>
      </c>
      <c r="B565" s="10">
        <v>-1.35579788105529</v>
      </c>
      <c r="C565" s="10">
        <v>0.65490106331541098</v>
      </c>
      <c r="D565" s="10">
        <v>6.6523196043728801</v>
      </c>
      <c r="E565" s="10">
        <v>3.2330545640368802E-2</v>
      </c>
      <c r="F565" s="10" t="str">
        <f>"SCGB3A1"</f>
        <v>SCGB3A1</v>
      </c>
      <c r="G565" s="10" t="str">
        <f t="shared" si="18"/>
        <v>protein_coding</v>
      </c>
      <c r="J565" s="14"/>
    </row>
    <row r="566" spans="1:10" x14ac:dyDescent="0.2">
      <c r="A566" s="10" t="str">
        <f>"ENSG00000165810.17"</f>
        <v>ENSG00000165810.17</v>
      </c>
      <c r="B566" s="10">
        <v>-1.87822760426929</v>
      </c>
      <c r="C566" s="10">
        <v>-0.93194735595755496</v>
      </c>
      <c r="D566" s="10">
        <v>9.4048072328632593</v>
      </c>
      <c r="E566" s="10">
        <v>1.51983391822768E-2</v>
      </c>
      <c r="F566" s="10" t="str">
        <f>"BTNL9"</f>
        <v>BTNL9</v>
      </c>
      <c r="G566" s="10" t="str">
        <f t="shared" si="18"/>
        <v>protein_coding</v>
      </c>
      <c r="J566" s="14"/>
    </row>
    <row r="567" spans="1:10" x14ac:dyDescent="0.2">
      <c r="A567" s="10" t="str">
        <f>"ENSG00000137273.5"</f>
        <v>ENSG00000137273.5</v>
      </c>
      <c r="B567" s="10">
        <v>-1.30714354672016</v>
      </c>
      <c r="C567" s="10">
        <v>0.35493373717019</v>
      </c>
      <c r="D567" s="10">
        <v>8.7983348064590103</v>
      </c>
      <c r="E567" s="10">
        <v>1.7730019840156101E-2</v>
      </c>
      <c r="F567" s="10" t="str">
        <f>"FOXF2"</f>
        <v>FOXF2</v>
      </c>
      <c r="G567" s="10" t="str">
        <f t="shared" si="18"/>
        <v>protein_coding</v>
      </c>
      <c r="J567" s="14"/>
    </row>
    <row r="568" spans="1:10" x14ac:dyDescent="0.2">
      <c r="A568" s="10" t="str">
        <f>"ENSG00000145949.10"</f>
        <v>ENSG00000145949.10</v>
      </c>
      <c r="B568" s="10">
        <v>-1.05638571422686</v>
      </c>
      <c r="C568" s="10">
        <v>-0.39083612648198002</v>
      </c>
      <c r="D568" s="10">
        <v>5.5146529936611897</v>
      </c>
      <c r="E568" s="10">
        <v>4.6229671482017197E-2</v>
      </c>
      <c r="F568" s="10" t="str">
        <f>"MYLK4"</f>
        <v>MYLK4</v>
      </c>
      <c r="G568" s="10" t="str">
        <f t="shared" si="18"/>
        <v>protein_coding</v>
      </c>
      <c r="J568" s="14"/>
    </row>
    <row r="569" spans="1:10" x14ac:dyDescent="0.2">
      <c r="A569" s="10" t="str">
        <f>"ENSG00000244041.7"</f>
        <v>ENSG00000244041.7</v>
      </c>
      <c r="B569" s="10">
        <v>1.79935230923431</v>
      </c>
      <c r="C569" s="10">
        <v>0.94693419419895297</v>
      </c>
      <c r="D569" s="10">
        <v>11.6518090699442</v>
      </c>
      <c r="E569" s="10">
        <v>9.0080365239456495E-3</v>
      </c>
      <c r="F569" s="10" t="str">
        <f>"LINC01011"</f>
        <v>LINC01011</v>
      </c>
      <c r="G569" s="10" t="str">
        <f>"lincRNA"</f>
        <v>lincRNA</v>
      </c>
      <c r="J569" s="14"/>
    </row>
    <row r="570" spans="1:10" x14ac:dyDescent="0.2">
      <c r="A570" s="10" t="str">
        <f>"ENSG00000260604.2"</f>
        <v>ENSG00000260604.2</v>
      </c>
      <c r="B570" s="10">
        <v>1.48680976026405</v>
      </c>
      <c r="C570" s="10">
        <v>5.0085840576524898</v>
      </c>
      <c r="D570" s="10">
        <v>31.364835131321499</v>
      </c>
      <c r="E570" s="10">
        <v>4.8806399783952602E-4</v>
      </c>
      <c r="F570" s="10" t="str">
        <f>"AL590004.3"</f>
        <v>AL590004.3</v>
      </c>
      <c r="G570" s="10" t="str">
        <f>"lincRNA"</f>
        <v>lincRNA</v>
      </c>
      <c r="J570" s="14"/>
    </row>
    <row r="571" spans="1:10" x14ac:dyDescent="0.2">
      <c r="A571" s="10" t="str">
        <f>"ENSG00000231811.2"</f>
        <v>ENSG00000231811.2</v>
      </c>
      <c r="B571" s="10">
        <v>-3.1466590966045498</v>
      </c>
      <c r="C571" s="10">
        <v>-2.0974958075033299</v>
      </c>
      <c r="D571" s="10">
        <v>9.9262869154696602</v>
      </c>
      <c r="E571" s="10">
        <v>1.31731346247956E-2</v>
      </c>
      <c r="F571" s="10" t="str">
        <f>"AL159166.1"</f>
        <v>AL159166.1</v>
      </c>
      <c r="G571" s="10" t="str">
        <f>"lincRNA"</f>
        <v>lincRNA</v>
      </c>
      <c r="J571" s="14"/>
    </row>
    <row r="572" spans="1:10" x14ac:dyDescent="0.2">
      <c r="A572" s="10" t="str">
        <f>"ENSG00000124787.13"</f>
        <v>ENSG00000124787.13</v>
      </c>
      <c r="B572" s="10">
        <v>1.29969752622821</v>
      </c>
      <c r="C572" s="10">
        <v>3.9743341494506801</v>
      </c>
      <c r="D572" s="10">
        <v>9.1943406229647309</v>
      </c>
      <c r="E572" s="10">
        <v>1.6022035872534E-2</v>
      </c>
      <c r="F572" s="10" t="str">
        <f>"RPP40"</f>
        <v>RPP40</v>
      </c>
      <c r="G572" s="10" t="str">
        <f>"protein_coding"</f>
        <v>protein_coding</v>
      </c>
      <c r="J572" s="14"/>
    </row>
    <row r="573" spans="1:10" x14ac:dyDescent="0.2">
      <c r="A573" s="10" t="str">
        <f>"ENSG00000233503.1"</f>
        <v>ENSG00000233503.1</v>
      </c>
      <c r="B573" s="10">
        <v>-3.0353253084704601</v>
      </c>
      <c r="C573" s="10">
        <v>-2.1532073111412098</v>
      </c>
      <c r="D573" s="10">
        <v>6.4903568168909196</v>
      </c>
      <c r="E573" s="10">
        <v>3.3968856285896798E-2</v>
      </c>
      <c r="F573" s="10" t="str">
        <f>"HNRNPLP1"</f>
        <v>HNRNPLP1</v>
      </c>
      <c r="G573" s="10" t="str">
        <f>"processed_pseudogene"</f>
        <v>processed_pseudogene</v>
      </c>
      <c r="J573" s="14"/>
    </row>
    <row r="574" spans="1:10" x14ac:dyDescent="0.2">
      <c r="A574" s="10" t="str">
        <f>"ENSG00000153162.9"</f>
        <v>ENSG00000153162.9</v>
      </c>
      <c r="B574" s="10">
        <v>1.49551295449317</v>
      </c>
      <c r="C574" s="10">
        <v>1.0292517392687499</v>
      </c>
      <c r="D574" s="10">
        <v>15.174126458160201</v>
      </c>
      <c r="E574" s="10">
        <v>4.4661470452276803E-3</v>
      </c>
      <c r="F574" s="10" t="str">
        <f>"BMP6"</f>
        <v>BMP6</v>
      </c>
      <c r="G574" s="10" t="str">
        <f>"protein_coding"</f>
        <v>protein_coding</v>
      </c>
      <c r="J574" s="14"/>
    </row>
    <row r="575" spans="1:10" x14ac:dyDescent="0.2">
      <c r="A575" s="10" t="str">
        <f>"ENSG00000111846.17"</f>
        <v>ENSG00000111846.17</v>
      </c>
      <c r="B575" s="10">
        <v>2.2348968327161298</v>
      </c>
      <c r="C575" s="10">
        <v>4.1314439236956204</v>
      </c>
      <c r="D575" s="10">
        <v>75.937854111865704</v>
      </c>
      <c r="E575" s="13">
        <v>2.1742878581725601E-5</v>
      </c>
      <c r="F575" s="10" t="str">
        <f>"GCNT2"</f>
        <v>GCNT2</v>
      </c>
      <c r="G575" s="10" t="str">
        <f>"protein_coding"</f>
        <v>protein_coding</v>
      </c>
      <c r="J575" s="14"/>
    </row>
    <row r="576" spans="1:10" x14ac:dyDescent="0.2">
      <c r="A576" s="10" t="str">
        <f>"ENSG00000285763.1"</f>
        <v>ENSG00000285763.1</v>
      </c>
      <c r="B576" s="10">
        <v>-1.3904768053516501</v>
      </c>
      <c r="C576" s="10">
        <v>-0.24181338280310399</v>
      </c>
      <c r="D576" s="10">
        <v>8.9342738218655509</v>
      </c>
      <c r="E576" s="10">
        <v>1.7118991116122799E-2</v>
      </c>
      <c r="F576" s="10" t="str">
        <f>"AL358777.1"</f>
        <v>AL358777.1</v>
      </c>
      <c r="G576" s="10" t="str">
        <f>"antisense"</f>
        <v>antisense</v>
      </c>
      <c r="J576" s="14"/>
    </row>
    <row r="577" spans="1:10" x14ac:dyDescent="0.2">
      <c r="A577" s="10" t="str">
        <f>"ENSG00000078401.7"</f>
        <v>ENSG00000078401.7</v>
      </c>
      <c r="B577" s="10">
        <v>3.52449524431848</v>
      </c>
      <c r="C577" s="10">
        <v>5.18630939359715</v>
      </c>
      <c r="D577" s="10">
        <v>57.961197999487197</v>
      </c>
      <c r="E577" s="13">
        <v>5.8299342986879599E-5</v>
      </c>
      <c r="F577" s="10" t="str">
        <f>"EDN1"</f>
        <v>EDN1</v>
      </c>
      <c r="G577" s="10" t="str">
        <f>"protein_coding"</f>
        <v>protein_coding</v>
      </c>
      <c r="J577" s="14"/>
    </row>
    <row r="578" spans="1:10" x14ac:dyDescent="0.2">
      <c r="A578" s="10" t="str">
        <f>"ENSG00000145990.11"</f>
        <v>ENSG00000145990.11</v>
      </c>
      <c r="B578" s="10">
        <v>-1.15682606961315</v>
      </c>
      <c r="C578" s="10">
        <v>3.4143474456874299</v>
      </c>
      <c r="D578" s="10">
        <v>6.1232812344476004</v>
      </c>
      <c r="E578" s="10">
        <v>3.8089718010220298E-2</v>
      </c>
      <c r="F578" s="10" t="str">
        <f>"GFOD1"</f>
        <v>GFOD1</v>
      </c>
      <c r="G578" s="10" t="str">
        <f>"protein_coding"</f>
        <v>protein_coding</v>
      </c>
      <c r="J578" s="14"/>
    </row>
    <row r="579" spans="1:10" x14ac:dyDescent="0.2">
      <c r="A579" s="10" t="str">
        <f>"ENSG00000235488.1"</f>
        <v>ENSG00000235488.1</v>
      </c>
      <c r="B579" s="10">
        <v>-2.0337253134567099</v>
      </c>
      <c r="C579" s="10">
        <v>-1.1129821831039399</v>
      </c>
      <c r="D579" s="10">
        <v>8.0625659106617409</v>
      </c>
      <c r="E579" s="10">
        <v>2.1559289054154999E-2</v>
      </c>
      <c r="F579" s="10" t="str">
        <f>"JARID2-AS1"</f>
        <v>JARID2-AS1</v>
      </c>
      <c r="G579" s="10" t="str">
        <f>"antisense"</f>
        <v>antisense</v>
      </c>
      <c r="J579" s="14"/>
    </row>
    <row r="580" spans="1:10" x14ac:dyDescent="0.2">
      <c r="A580" s="10" t="str">
        <f>"ENSG00000112183.15"</f>
        <v>ENSG00000112183.15</v>
      </c>
      <c r="B580" s="10">
        <v>1.5818854027273399</v>
      </c>
      <c r="C580" s="10">
        <v>4.3945001247859903</v>
      </c>
      <c r="D580" s="10">
        <v>23.2752777048963</v>
      </c>
      <c r="E580" s="10">
        <v>1.26890075517992E-3</v>
      </c>
      <c r="F580" s="10" t="str">
        <f>"RBM24"</f>
        <v>RBM24</v>
      </c>
      <c r="G580" s="10" t="str">
        <f t="shared" ref="G580:G585" si="19">"protein_coding"</f>
        <v>protein_coding</v>
      </c>
      <c r="J580" s="14"/>
    </row>
    <row r="581" spans="1:10" x14ac:dyDescent="0.2">
      <c r="A581" s="10" t="str">
        <f>"ENSG00000112186.12"</f>
        <v>ENSG00000112186.12</v>
      </c>
      <c r="B581" s="10">
        <v>1.2712346283293601</v>
      </c>
      <c r="C581" s="10">
        <v>5.70955662566569</v>
      </c>
      <c r="D581" s="10">
        <v>21.041055616300198</v>
      </c>
      <c r="E581" s="10">
        <v>1.72914613547926E-3</v>
      </c>
      <c r="F581" s="10" t="str">
        <f>"CAP2"</f>
        <v>CAP2</v>
      </c>
      <c r="G581" s="10" t="str">
        <f t="shared" si="19"/>
        <v>protein_coding</v>
      </c>
      <c r="J581" s="14"/>
    </row>
    <row r="582" spans="1:10" x14ac:dyDescent="0.2">
      <c r="A582" s="10" t="str">
        <f>"ENSG00000137261.14"</f>
        <v>ENSG00000137261.14</v>
      </c>
      <c r="B582" s="10">
        <v>2.5954282843187699</v>
      </c>
      <c r="C582" s="10">
        <v>-0.35059232408072</v>
      </c>
      <c r="D582" s="10">
        <v>16.461939130225701</v>
      </c>
      <c r="E582" s="10">
        <v>3.5540348377500401E-3</v>
      </c>
      <c r="F582" s="10" t="str">
        <f>"KIAA0319"</f>
        <v>KIAA0319</v>
      </c>
      <c r="G582" s="10" t="str">
        <f t="shared" si="19"/>
        <v>protein_coding</v>
      </c>
      <c r="J582" s="14"/>
    </row>
    <row r="583" spans="1:10" x14ac:dyDescent="0.2">
      <c r="A583" s="10" t="str">
        <f>"ENSG00000079689.14"</f>
        <v>ENSG00000079689.14</v>
      </c>
      <c r="B583" s="10">
        <v>1.4148106383660499</v>
      </c>
      <c r="C583" s="10">
        <v>2.6861719211742399</v>
      </c>
      <c r="D583" s="10">
        <v>7.7809414208574204</v>
      </c>
      <c r="E583" s="10">
        <v>2.32979027661359E-2</v>
      </c>
      <c r="F583" s="10" t="str">
        <f>"SCGN"</f>
        <v>SCGN</v>
      </c>
      <c r="G583" s="10" t="str">
        <f t="shared" si="19"/>
        <v>protein_coding</v>
      </c>
      <c r="J583" s="14"/>
    </row>
    <row r="584" spans="1:10" x14ac:dyDescent="0.2">
      <c r="A584" s="10" t="str">
        <f>"ENSG00000124568.10"</f>
        <v>ENSG00000124568.10</v>
      </c>
      <c r="B584" s="10">
        <v>1.7004738173828</v>
      </c>
      <c r="C584" s="10">
        <v>-1.0819849524713301</v>
      </c>
      <c r="D584" s="10">
        <v>5.9394963197206003</v>
      </c>
      <c r="E584" s="10">
        <v>4.03913688057859E-2</v>
      </c>
      <c r="F584" s="10" t="str">
        <f>"SLC17A1"</f>
        <v>SLC17A1</v>
      </c>
      <c r="G584" s="10" t="str">
        <f t="shared" si="19"/>
        <v>protein_coding</v>
      </c>
      <c r="J584" s="14"/>
    </row>
    <row r="585" spans="1:10" x14ac:dyDescent="0.2">
      <c r="A585" s="10" t="str">
        <f>"ENSG00000124564.17"</f>
        <v>ENSG00000124564.17</v>
      </c>
      <c r="B585" s="10">
        <v>3.5444142179670499</v>
      </c>
      <c r="C585" s="10">
        <v>-1.12865483480838</v>
      </c>
      <c r="D585" s="10">
        <v>19.890823045979499</v>
      </c>
      <c r="E585" s="10">
        <v>2.0478178195078699E-3</v>
      </c>
      <c r="F585" s="10" t="str">
        <f>"SLC17A3"</f>
        <v>SLC17A3</v>
      </c>
      <c r="G585" s="10" t="str">
        <f t="shared" si="19"/>
        <v>protein_coding</v>
      </c>
      <c r="J585" s="14"/>
    </row>
    <row r="586" spans="1:10" x14ac:dyDescent="0.2">
      <c r="A586" s="10" t="str">
        <f>"ENSG00000272462.2"</f>
        <v>ENSG00000272462.2</v>
      </c>
      <c r="B586" s="10">
        <v>1.1556766851364699</v>
      </c>
      <c r="C586" s="10">
        <v>1.3331380598026401</v>
      </c>
      <c r="D586" s="10">
        <v>14.1763198296953</v>
      </c>
      <c r="E586" s="10">
        <v>5.2196520288014803E-3</v>
      </c>
      <c r="F586" s="10" t="str">
        <f>"U91328.1"</f>
        <v>U91328.1</v>
      </c>
      <c r="G586" s="10" t="str">
        <f>"lincRNA"</f>
        <v>lincRNA</v>
      </c>
      <c r="J586" s="14"/>
    </row>
    <row r="587" spans="1:10" x14ac:dyDescent="0.2">
      <c r="A587" s="10" t="str">
        <f>"ENSG00000010704.18"</f>
        <v>ENSG00000010704.18</v>
      </c>
      <c r="B587" s="10">
        <v>1.5719606420897301</v>
      </c>
      <c r="C587" s="10">
        <v>2.7125691192394901</v>
      </c>
      <c r="D587" s="10">
        <v>34.2967371608148</v>
      </c>
      <c r="E587" s="10">
        <v>3.5061630990664401E-4</v>
      </c>
      <c r="F587" s="10" t="str">
        <f>"HFE"</f>
        <v>HFE</v>
      </c>
      <c r="G587" s="10" t="str">
        <f t="shared" ref="G587:G595" si="20">"protein_coding"</f>
        <v>protein_coding</v>
      </c>
      <c r="J587" s="14"/>
    </row>
    <row r="588" spans="1:10" x14ac:dyDescent="0.2">
      <c r="A588" s="10" t="str">
        <f>"ENSG00000180596.7"</f>
        <v>ENSG00000180596.7</v>
      </c>
      <c r="B588" s="10">
        <v>1.3244853211262999</v>
      </c>
      <c r="C588" s="10">
        <v>3.7336218635097902</v>
      </c>
      <c r="D588" s="10">
        <v>14.7498380904533</v>
      </c>
      <c r="E588" s="10">
        <v>4.8295501869548398E-3</v>
      </c>
      <c r="F588" s="10" t="str">
        <f>"HIST1H2BC"</f>
        <v>HIST1H2BC</v>
      </c>
      <c r="G588" s="10" t="str">
        <f t="shared" si="20"/>
        <v>protein_coding</v>
      </c>
      <c r="J588" s="14"/>
    </row>
    <row r="589" spans="1:10" x14ac:dyDescent="0.2">
      <c r="A589" s="10" t="str">
        <f>"ENSG00000180573.9"</f>
        <v>ENSG00000180573.9</v>
      </c>
      <c r="B589" s="10">
        <v>1.0351907752064999</v>
      </c>
      <c r="C589" s="10">
        <v>5.7324987993703802</v>
      </c>
      <c r="D589" s="10">
        <v>7.9332865907351602</v>
      </c>
      <c r="E589" s="10">
        <v>2.2336332793104499E-2</v>
      </c>
      <c r="F589" s="10" t="str">
        <f>"HIST1H2AC"</f>
        <v>HIST1H2AC</v>
      </c>
      <c r="G589" s="10" t="str">
        <f t="shared" si="20"/>
        <v>protein_coding</v>
      </c>
      <c r="J589" s="14"/>
    </row>
    <row r="590" spans="1:10" x14ac:dyDescent="0.2">
      <c r="A590" s="10" t="str">
        <f>"ENSG00000186470.14"</f>
        <v>ENSG00000186470.14</v>
      </c>
      <c r="B590" s="10">
        <v>1.26184599313902</v>
      </c>
      <c r="C590" s="10">
        <v>3.7729977264974202</v>
      </c>
      <c r="D590" s="10">
        <v>25.337662172498799</v>
      </c>
      <c r="E590" s="10">
        <v>9.7258436536158796E-4</v>
      </c>
      <c r="F590" s="10" t="str">
        <f>"BTN3A2"</f>
        <v>BTN3A2</v>
      </c>
      <c r="G590" s="10" t="str">
        <f t="shared" si="20"/>
        <v>protein_coding</v>
      </c>
      <c r="J590" s="14"/>
    </row>
    <row r="591" spans="1:10" x14ac:dyDescent="0.2">
      <c r="A591" s="10" t="str">
        <f>"ENSG00000026950.17"</f>
        <v>ENSG00000026950.17</v>
      </c>
      <c r="B591" s="10">
        <v>1.43394154271548</v>
      </c>
      <c r="C591" s="10">
        <v>2.8801735234372901</v>
      </c>
      <c r="D591" s="10">
        <v>17.033161747378202</v>
      </c>
      <c r="E591" s="10">
        <v>3.2245680894651199E-3</v>
      </c>
      <c r="F591" s="10" t="str">
        <f>"BTN3A1"</f>
        <v>BTN3A1</v>
      </c>
      <c r="G591" s="10" t="str">
        <f t="shared" si="20"/>
        <v>protein_coding</v>
      </c>
      <c r="J591" s="14"/>
    </row>
    <row r="592" spans="1:10" x14ac:dyDescent="0.2">
      <c r="A592" s="10" t="str">
        <f>"ENSG00000111801.16"</f>
        <v>ENSG00000111801.16</v>
      </c>
      <c r="B592" s="10">
        <v>1.1372723577073001</v>
      </c>
      <c r="C592" s="10">
        <v>2.5041107603350401</v>
      </c>
      <c r="D592" s="10">
        <v>10.725406488808201</v>
      </c>
      <c r="E592" s="10">
        <v>1.1082689267145901E-2</v>
      </c>
      <c r="F592" s="10" t="str">
        <f>"BTN3A3"</f>
        <v>BTN3A3</v>
      </c>
      <c r="G592" s="10" t="str">
        <f t="shared" si="20"/>
        <v>protein_coding</v>
      </c>
      <c r="J592" s="14"/>
    </row>
    <row r="593" spans="1:10" x14ac:dyDescent="0.2">
      <c r="A593" s="10" t="str">
        <f>"ENSG00000196787.3"</f>
        <v>ENSG00000196787.3</v>
      </c>
      <c r="B593" s="10">
        <v>-1.16816289122471</v>
      </c>
      <c r="C593" s="10">
        <v>4.2613254344166398</v>
      </c>
      <c r="D593" s="10">
        <v>17.339095001826301</v>
      </c>
      <c r="E593" s="10">
        <v>3.06379478987342E-3</v>
      </c>
      <c r="F593" s="10" t="str">
        <f>"HIST1H2AG"</f>
        <v>HIST1H2AG</v>
      </c>
      <c r="G593" s="10" t="str">
        <f t="shared" si="20"/>
        <v>protein_coding</v>
      </c>
      <c r="J593" s="14"/>
    </row>
    <row r="594" spans="1:10" x14ac:dyDescent="0.2">
      <c r="A594" s="10" t="str">
        <f>"ENSG00000124657.1"</f>
        <v>ENSG00000124657.1</v>
      </c>
      <c r="B594" s="10">
        <v>-1.3764741255181501</v>
      </c>
      <c r="C594" s="10">
        <v>-0.38697116728476599</v>
      </c>
      <c r="D594" s="10">
        <v>5.7619476876623397</v>
      </c>
      <c r="E594" s="10">
        <v>4.2785081731901098E-2</v>
      </c>
      <c r="F594" s="10" t="str">
        <f>"OR2B6"</f>
        <v>OR2B6</v>
      </c>
      <c r="G594" s="10" t="str">
        <f t="shared" si="20"/>
        <v>protein_coding</v>
      </c>
      <c r="J594" s="14"/>
    </row>
    <row r="595" spans="1:10" x14ac:dyDescent="0.2">
      <c r="A595" s="10" t="str">
        <f>"ENSG00000204681.11"</f>
        <v>ENSG00000204681.11</v>
      </c>
      <c r="B595" s="10">
        <v>-1.70848720913674</v>
      </c>
      <c r="C595" s="10">
        <v>0.20611866497213199</v>
      </c>
      <c r="D595" s="10">
        <v>5.48996158904417</v>
      </c>
      <c r="E595" s="10">
        <v>4.6812949551348702E-2</v>
      </c>
      <c r="F595" s="10" t="str">
        <f>"GABBR1"</f>
        <v>GABBR1</v>
      </c>
      <c r="G595" s="10" t="str">
        <f t="shared" si="20"/>
        <v>protein_coding</v>
      </c>
      <c r="J595" s="14"/>
    </row>
    <row r="596" spans="1:10" x14ac:dyDescent="0.2">
      <c r="A596" s="10" t="str">
        <f>"ENSG00000229390.1"</f>
        <v>ENSG00000229390.1</v>
      </c>
      <c r="B596" s="10">
        <v>1.7033471519869201</v>
      </c>
      <c r="C596" s="10">
        <v>-1.3047623466506899</v>
      </c>
      <c r="D596" s="10">
        <v>6.2267023073437899</v>
      </c>
      <c r="E596" s="10">
        <v>3.68674519722028E-2</v>
      </c>
      <c r="F596" s="10" t="str">
        <f>"MICD"</f>
        <v>MICD</v>
      </c>
      <c r="G596" s="10" t="str">
        <f>"unprocessed_pseudogene"</f>
        <v>unprocessed_pseudogene</v>
      </c>
      <c r="J596" s="14"/>
    </row>
    <row r="597" spans="1:10" x14ac:dyDescent="0.2">
      <c r="A597" s="10" t="str">
        <f>"ENSG00000204618.8"</f>
        <v>ENSG00000204618.8</v>
      </c>
      <c r="B597" s="10">
        <v>-1.04807829046787</v>
      </c>
      <c r="C597" s="10">
        <v>2.8928281377692202</v>
      </c>
      <c r="D597" s="10">
        <v>7.3266551291937896</v>
      </c>
      <c r="E597" s="10">
        <v>2.6492878994378799E-2</v>
      </c>
      <c r="F597" s="10" t="str">
        <f>"RNF39"</f>
        <v>RNF39</v>
      </c>
      <c r="G597" s="10" t="str">
        <f>"protein_coding"</f>
        <v>protein_coding</v>
      </c>
      <c r="J597" s="14"/>
    </row>
    <row r="598" spans="1:10" x14ac:dyDescent="0.2">
      <c r="A598" s="10" t="str">
        <f>"ENSG00000204616.11"</f>
        <v>ENSG00000204616.11</v>
      </c>
      <c r="B598" s="10">
        <v>2.1348477713705898</v>
      </c>
      <c r="C598" s="10">
        <v>-7.9108073843528304E-2</v>
      </c>
      <c r="D598" s="10">
        <v>15.0849132624727</v>
      </c>
      <c r="E598" s="10">
        <v>4.5396384379563096E-3</v>
      </c>
      <c r="F598" s="10" t="str">
        <f>"TRIM31"</f>
        <v>TRIM31</v>
      </c>
      <c r="G598" s="10" t="str">
        <f>"protein_coding"</f>
        <v>protein_coding</v>
      </c>
      <c r="J598" s="14"/>
    </row>
    <row r="599" spans="1:10" x14ac:dyDescent="0.2">
      <c r="A599" s="10" t="str">
        <f>"ENSG00000204613.11"</f>
        <v>ENSG00000204613.11</v>
      </c>
      <c r="B599" s="10">
        <v>1.0371603867443899</v>
      </c>
      <c r="C599" s="10">
        <v>2.88029573213249</v>
      </c>
      <c r="D599" s="10">
        <v>14.615839324086</v>
      </c>
      <c r="E599" s="10">
        <v>4.9519536338467002E-3</v>
      </c>
      <c r="F599" s="10" t="str">
        <f>"TRIM10"</f>
        <v>TRIM10</v>
      </c>
      <c r="G599" s="10" t="str">
        <f>"protein_coding"</f>
        <v>protein_coding</v>
      </c>
      <c r="J599" s="14"/>
    </row>
    <row r="600" spans="1:10" x14ac:dyDescent="0.2">
      <c r="A600" s="10" t="str">
        <f>"ENSG00000204610.13"</f>
        <v>ENSG00000204610.13</v>
      </c>
      <c r="B600" s="10">
        <v>1.4011698162881601</v>
      </c>
      <c r="C600" s="10">
        <v>4.8607632366425904</v>
      </c>
      <c r="D600" s="10">
        <v>40.580621414531002</v>
      </c>
      <c r="E600" s="10">
        <v>2.0429686800377801E-4</v>
      </c>
      <c r="F600" s="10" t="str">
        <f>"TRIM15"</f>
        <v>TRIM15</v>
      </c>
      <c r="G600" s="10" t="str">
        <f>"protein_coding"</f>
        <v>protein_coding</v>
      </c>
      <c r="J600" s="14"/>
    </row>
    <row r="601" spans="1:10" x14ac:dyDescent="0.2">
      <c r="A601" s="10" t="str">
        <f>"ENSG00000272501.1"</f>
        <v>ENSG00000272501.1</v>
      </c>
      <c r="B601" s="10">
        <v>1.22398967532576</v>
      </c>
      <c r="C601" s="10">
        <v>1.8824978504187999</v>
      </c>
      <c r="D601" s="10">
        <v>11.369066422926601</v>
      </c>
      <c r="E601" s="10">
        <v>9.5852543985266506E-3</v>
      </c>
      <c r="F601" s="10" t="str">
        <f>"AL662844.4"</f>
        <v>AL662844.4</v>
      </c>
      <c r="G601" s="10" t="str">
        <f>"antisense"</f>
        <v>antisense</v>
      </c>
      <c r="J601" s="14"/>
    </row>
    <row r="602" spans="1:10" x14ac:dyDescent="0.2">
      <c r="A602" s="10" t="str">
        <f>"ENSG00000204516.10"</f>
        <v>ENSG00000204516.10</v>
      </c>
      <c r="B602" s="10">
        <v>-1.3001175428984699</v>
      </c>
      <c r="C602" s="10">
        <v>5.8287373526478499</v>
      </c>
      <c r="D602" s="10">
        <v>41.008309905217601</v>
      </c>
      <c r="E602" s="10">
        <v>1.8790734331624901E-4</v>
      </c>
      <c r="F602" s="10" t="str">
        <f>"MICB"</f>
        <v>MICB</v>
      </c>
      <c r="G602" s="10" t="str">
        <f>"protein_coding"</f>
        <v>protein_coding</v>
      </c>
      <c r="J602" s="14"/>
    </row>
    <row r="603" spans="1:10" x14ac:dyDescent="0.2">
      <c r="A603" s="10" t="str">
        <f>"ENSG00000204444.11"</f>
        <v>ENSG00000204444.11</v>
      </c>
      <c r="B603" s="10">
        <v>1.7749812996763299</v>
      </c>
      <c r="C603" s="10">
        <v>7.1275232408629501</v>
      </c>
      <c r="D603" s="10">
        <v>9.0120805176051704</v>
      </c>
      <c r="E603" s="10">
        <v>1.6781162866880101E-2</v>
      </c>
      <c r="F603" s="10" t="str">
        <f>"APOM"</f>
        <v>APOM</v>
      </c>
      <c r="G603" s="10" t="str">
        <f>"protein_coding"</f>
        <v>protein_coding</v>
      </c>
      <c r="J603" s="14"/>
    </row>
    <row r="604" spans="1:10" x14ac:dyDescent="0.2">
      <c r="A604" s="10" t="str">
        <f>"ENSG00000166278.15"</f>
        <v>ENSG00000166278.15</v>
      </c>
      <c r="B604" s="10">
        <v>1.0878883653029301</v>
      </c>
      <c r="C604" s="10">
        <v>5.38100871676314</v>
      </c>
      <c r="D604" s="10">
        <v>8.9881216116131792</v>
      </c>
      <c r="E604" s="10">
        <v>1.6884289146019599E-2</v>
      </c>
      <c r="F604" s="10" t="str">
        <f>"C2"</f>
        <v>C2</v>
      </c>
      <c r="G604" s="10" t="str">
        <f>"protein_coding"</f>
        <v>protein_coding</v>
      </c>
      <c r="J604" s="14"/>
    </row>
    <row r="605" spans="1:10" x14ac:dyDescent="0.2">
      <c r="A605" s="10" t="str">
        <f>"ENSG00000243649.8"</f>
        <v>ENSG00000243649.8</v>
      </c>
      <c r="B605" s="10">
        <v>1.8434852373100701</v>
      </c>
      <c r="C605" s="10">
        <v>4.1045783635981996</v>
      </c>
      <c r="D605" s="10">
        <v>20.0834518711515</v>
      </c>
      <c r="E605" s="10">
        <v>1.9896238974328401E-3</v>
      </c>
      <c r="F605" s="10" t="str">
        <f>"CFB"</f>
        <v>CFB</v>
      </c>
      <c r="G605" s="10" t="str">
        <f>"protein_coding"</f>
        <v>protein_coding</v>
      </c>
      <c r="J605" s="14"/>
    </row>
    <row r="606" spans="1:10" x14ac:dyDescent="0.2">
      <c r="A606" s="10" t="str">
        <f>"ENSG00000204338.8"</f>
        <v>ENSG00000204338.8</v>
      </c>
      <c r="B606" s="10">
        <v>1.4120501675511301</v>
      </c>
      <c r="C606" s="10">
        <v>0.432223618732065</v>
      </c>
      <c r="D606" s="10">
        <v>13.016769636248901</v>
      </c>
      <c r="E606" s="10">
        <v>6.7459686805002401E-3</v>
      </c>
      <c r="F606" s="10" t="str">
        <f>"CYP21A1P"</f>
        <v>CYP21A1P</v>
      </c>
      <c r="G606" s="10" t="str">
        <f>"transcribed_unprocessed_pseudogene"</f>
        <v>transcribed_unprocessed_pseudogene</v>
      </c>
      <c r="J606" s="14"/>
    </row>
    <row r="607" spans="1:10" x14ac:dyDescent="0.2">
      <c r="A607" s="10" t="str">
        <f>"ENSG00000196126.11"</f>
        <v>ENSG00000196126.11</v>
      </c>
      <c r="B607" s="10">
        <v>-1.57535926233992</v>
      </c>
      <c r="C607" s="10">
        <v>-1.3810488608373199</v>
      </c>
      <c r="D607" s="10">
        <v>6.0998033041595203</v>
      </c>
      <c r="E607" s="10">
        <v>3.8067553093426999E-2</v>
      </c>
      <c r="F607" s="10" t="str">
        <f>"HLA-DRB1"</f>
        <v>HLA-DRB1</v>
      </c>
      <c r="G607" s="10" t="str">
        <f>"protein_coding"</f>
        <v>protein_coding</v>
      </c>
      <c r="J607" s="14"/>
    </row>
    <row r="608" spans="1:10" x14ac:dyDescent="0.2">
      <c r="A608" s="10" t="str">
        <f>"ENSG00000225339.3"</f>
        <v>ENSG00000225339.3</v>
      </c>
      <c r="B608" s="10">
        <v>-1.6906943806939001</v>
      </c>
      <c r="C608" s="10">
        <v>-0.64572059263530401</v>
      </c>
      <c r="D608" s="10">
        <v>8.5979233079387694</v>
      </c>
      <c r="E608" s="10">
        <v>1.8681796212188601E-2</v>
      </c>
      <c r="F608" s="10" t="str">
        <f>"AL354740.1"</f>
        <v>AL354740.1</v>
      </c>
      <c r="G608" s="10" t="str">
        <f>"processed_transcript"</f>
        <v>processed_transcript</v>
      </c>
      <c r="J608" s="14"/>
    </row>
    <row r="609" spans="1:10" x14ac:dyDescent="0.2">
      <c r="A609" s="10" t="str">
        <f>"ENSG00000112053.13"</f>
        <v>ENSG00000112053.13</v>
      </c>
      <c r="B609" s="10">
        <v>1.0813517190755499</v>
      </c>
      <c r="C609" s="10">
        <v>-0.26346564704352099</v>
      </c>
      <c r="D609" s="10">
        <v>7.1589618120359404</v>
      </c>
      <c r="E609" s="10">
        <v>2.7401737103336401E-2</v>
      </c>
      <c r="F609" s="10" t="str">
        <f>"SLC26A8"</f>
        <v>SLC26A8</v>
      </c>
      <c r="G609" s="10" t="str">
        <f>"protein_coding"</f>
        <v>protein_coding</v>
      </c>
      <c r="J609" s="14"/>
    </row>
    <row r="610" spans="1:10" x14ac:dyDescent="0.2">
      <c r="A610" s="10" t="str">
        <f>"ENSG00000010030.14"</f>
        <v>ENSG00000010030.14</v>
      </c>
      <c r="B610" s="10">
        <v>-1.35816338075865</v>
      </c>
      <c r="C610" s="10">
        <v>1.67702944316878</v>
      </c>
      <c r="D610" s="10">
        <v>8.1209420353831003</v>
      </c>
      <c r="E610" s="10">
        <v>2.1219585204680001E-2</v>
      </c>
      <c r="F610" s="10" t="str">
        <f>"ETV7"</f>
        <v>ETV7</v>
      </c>
      <c r="G610" s="10" t="str">
        <f>"protein_coding"</f>
        <v>protein_coding</v>
      </c>
      <c r="J610" s="14"/>
    </row>
    <row r="611" spans="1:10" x14ac:dyDescent="0.2">
      <c r="A611" s="10" t="str">
        <f>"ENSG00000179165.11"</f>
        <v>ENSG00000179165.11</v>
      </c>
      <c r="B611" s="10">
        <v>-1.6265019975014601</v>
      </c>
      <c r="C611" s="10">
        <v>0.27487997117570701</v>
      </c>
      <c r="D611" s="10">
        <v>18.884945705910201</v>
      </c>
      <c r="E611" s="10">
        <v>2.29543407692453E-3</v>
      </c>
      <c r="F611" s="10" t="str">
        <f>"PXT1"</f>
        <v>PXT1</v>
      </c>
      <c r="G611" s="10" t="str">
        <f>"protein_coding"</f>
        <v>protein_coding</v>
      </c>
      <c r="J611" s="14"/>
    </row>
    <row r="612" spans="1:10" x14ac:dyDescent="0.2">
      <c r="A612" s="10" t="str">
        <f>"ENSG00000112078.14"</f>
        <v>ENSG00000112078.14</v>
      </c>
      <c r="B612" s="10">
        <v>1.1306688361501001</v>
      </c>
      <c r="C612" s="10">
        <v>6.2047989334605598</v>
      </c>
      <c r="D612" s="10">
        <v>36.734753384346497</v>
      </c>
      <c r="E612" s="10">
        <v>2.6896120825342499E-4</v>
      </c>
      <c r="F612" s="10" t="str">
        <f>"KCTD20"</f>
        <v>KCTD20</v>
      </c>
      <c r="G612" s="10" t="str">
        <f>"protein_coding"</f>
        <v>protein_coding</v>
      </c>
      <c r="J612" s="14"/>
    </row>
    <row r="613" spans="1:10" x14ac:dyDescent="0.2">
      <c r="A613" s="10" t="str">
        <f>"ENSG00000285888.1"</f>
        <v>ENSG00000285888.1</v>
      </c>
      <c r="B613" s="10">
        <v>1.9071613301574399</v>
      </c>
      <c r="C613" s="10">
        <v>-1.64730089966256</v>
      </c>
      <c r="D613" s="10">
        <v>6.1232012727393297</v>
      </c>
      <c r="E613" s="10">
        <v>3.8090682738398503E-2</v>
      </c>
      <c r="F613" s="10" t="str">
        <f>"Z85996.2"</f>
        <v>Z85996.2</v>
      </c>
      <c r="G613" s="10" t="str">
        <f>"lincRNA"</f>
        <v>lincRNA</v>
      </c>
      <c r="J613" s="14"/>
    </row>
    <row r="614" spans="1:10" x14ac:dyDescent="0.2">
      <c r="A614" s="10" t="str">
        <f>"ENSG00000164530.15"</f>
        <v>ENSG00000164530.15</v>
      </c>
      <c r="B614" s="10">
        <v>-1.76149639104879</v>
      </c>
      <c r="C614" s="10">
        <v>-3.0063602930101201E-3</v>
      </c>
      <c r="D614" s="10">
        <v>15.165994927093299</v>
      </c>
      <c r="E614" s="10">
        <v>4.4727836223379001E-3</v>
      </c>
      <c r="F614" s="10" t="str">
        <f>"PI16"</f>
        <v>PI16</v>
      </c>
      <c r="G614" s="10" t="str">
        <f t="shared" ref="G614:G620" si="21">"protein_coding"</f>
        <v>protein_coding</v>
      </c>
      <c r="J614" s="14"/>
    </row>
    <row r="615" spans="1:10" x14ac:dyDescent="0.2">
      <c r="A615" s="10" t="str">
        <f>"ENSG00000137193.14"</f>
        <v>ENSG00000137193.14</v>
      </c>
      <c r="B615" s="10">
        <v>2.4846481499692401</v>
      </c>
      <c r="C615" s="10">
        <v>4.5737287484972899</v>
      </c>
      <c r="D615" s="10">
        <v>94.327020855882907</v>
      </c>
      <c r="E615" s="13">
        <v>9.6834902660007604E-6</v>
      </c>
      <c r="F615" s="10" t="str">
        <f>"PIM1"</f>
        <v>PIM1</v>
      </c>
      <c r="G615" s="10" t="str">
        <f t="shared" si="21"/>
        <v>protein_coding</v>
      </c>
      <c r="J615" s="14"/>
    </row>
    <row r="616" spans="1:10" x14ac:dyDescent="0.2">
      <c r="A616" s="10" t="str">
        <f>"ENSG00000112139.16"</f>
        <v>ENSG00000112139.16</v>
      </c>
      <c r="B616" s="10">
        <v>-1.6740581911164101</v>
      </c>
      <c r="C616" s="10">
        <v>0.51304304065263695</v>
      </c>
      <c r="D616" s="10">
        <v>10.1886540525435</v>
      </c>
      <c r="E616" s="10">
        <v>1.2562040885165601E-2</v>
      </c>
      <c r="F616" s="10" t="str">
        <f>"MDGA1"</f>
        <v>MDGA1</v>
      </c>
      <c r="G616" s="10" t="str">
        <f t="shared" si="21"/>
        <v>protein_coding</v>
      </c>
      <c r="J616" s="14"/>
    </row>
    <row r="617" spans="1:10" x14ac:dyDescent="0.2">
      <c r="A617" s="10" t="str">
        <f>"ENSG00000164627.18"</f>
        <v>ENSG00000164627.18</v>
      </c>
      <c r="B617" s="10">
        <v>-1.7241319033770599</v>
      </c>
      <c r="C617" s="10">
        <v>-0.90078674771401102</v>
      </c>
      <c r="D617" s="10">
        <v>5.5037206139043304</v>
      </c>
      <c r="E617" s="10">
        <v>4.6597897510113201E-2</v>
      </c>
      <c r="F617" s="10" t="str">
        <f>"KIF6"</f>
        <v>KIF6</v>
      </c>
      <c r="G617" s="10" t="str">
        <f t="shared" si="21"/>
        <v>protein_coding</v>
      </c>
      <c r="J617" s="14"/>
    </row>
    <row r="618" spans="1:10" x14ac:dyDescent="0.2">
      <c r="A618" s="10" t="str">
        <f>"ENSG00000112559.14"</f>
        <v>ENSG00000112559.14</v>
      </c>
      <c r="B618" s="10">
        <v>-1.8560665599639601</v>
      </c>
      <c r="C618" s="10">
        <v>4.9868336107868503</v>
      </c>
      <c r="D618" s="10">
        <v>8.5403673531204607</v>
      </c>
      <c r="E618" s="10">
        <v>1.8966957629483E-2</v>
      </c>
      <c r="F618" s="10" t="str">
        <f>"MDFI"</f>
        <v>MDFI</v>
      </c>
      <c r="G618" s="10" t="str">
        <f t="shared" si="21"/>
        <v>protein_coding</v>
      </c>
      <c r="J618" s="14"/>
    </row>
    <row r="619" spans="1:10" x14ac:dyDescent="0.2">
      <c r="A619" s="10" t="str">
        <f>"ENSG00000124593.16"</f>
        <v>ENSG00000124593.16</v>
      </c>
      <c r="B619" s="10">
        <v>-1.1907617368099901</v>
      </c>
      <c r="C619" s="10">
        <v>2.6358318185766501</v>
      </c>
      <c r="D619" s="10">
        <v>12.9372932893165</v>
      </c>
      <c r="E619" s="10">
        <v>6.8719896961709596E-3</v>
      </c>
      <c r="F619" s="10" t="str">
        <f>"AL365205.1"</f>
        <v>AL365205.1</v>
      </c>
      <c r="G619" s="10" t="str">
        <f t="shared" si="21"/>
        <v>protein_coding</v>
      </c>
      <c r="J619" s="14"/>
    </row>
    <row r="620" spans="1:10" x14ac:dyDescent="0.2">
      <c r="A620" s="10" t="str">
        <f>"ENSG00000112599.9"</f>
        <v>ENSG00000112599.9</v>
      </c>
      <c r="B620" s="10">
        <v>-1.46259189521296</v>
      </c>
      <c r="C620" s="10">
        <v>-0.53310418500594903</v>
      </c>
      <c r="D620" s="10">
        <v>8.8697588563966594</v>
      </c>
      <c r="E620" s="10">
        <v>1.7380679729359201E-2</v>
      </c>
      <c r="F620" s="10" t="str">
        <f>"GUCA1B"</f>
        <v>GUCA1B</v>
      </c>
      <c r="G620" s="10" t="str">
        <f t="shared" si="21"/>
        <v>protein_coding</v>
      </c>
      <c r="J620" s="14"/>
    </row>
    <row r="621" spans="1:10" x14ac:dyDescent="0.2">
      <c r="A621" s="10" t="str">
        <f>"ENSG00000181524.6"</f>
        <v>ENSG00000181524.6</v>
      </c>
      <c r="B621" s="10">
        <v>1.36025751762227</v>
      </c>
      <c r="C621" s="10">
        <v>5.2177011511481801</v>
      </c>
      <c r="D621" s="10">
        <v>8.9676674166592392</v>
      </c>
      <c r="E621" s="10">
        <v>1.69729615642558E-2</v>
      </c>
      <c r="F621" s="10" t="str">
        <f>"RPL24P4"</f>
        <v>RPL24P4</v>
      </c>
      <c r="G621" s="10" t="str">
        <f>"processed_pseudogene"</f>
        <v>processed_pseudogene</v>
      </c>
      <c r="J621" s="14"/>
    </row>
    <row r="622" spans="1:10" x14ac:dyDescent="0.2">
      <c r="A622" s="10" t="str">
        <f>"ENSG00000137204.14"</f>
        <v>ENSG00000137204.14</v>
      </c>
      <c r="B622" s="10">
        <v>1.98037944395438</v>
      </c>
      <c r="C622" s="10">
        <v>-0.148404213807136</v>
      </c>
      <c r="D622" s="10">
        <v>7.23675273061688</v>
      </c>
      <c r="E622" s="10">
        <v>2.7189457125933202E-2</v>
      </c>
      <c r="F622" s="10" t="str">
        <f>"SLC22A7"</f>
        <v>SLC22A7</v>
      </c>
      <c r="G622" s="10" t="str">
        <f t="shared" ref="G622:G631" si="22">"protein_coding"</f>
        <v>protein_coding</v>
      </c>
      <c r="J622" s="14"/>
    </row>
    <row r="623" spans="1:10" x14ac:dyDescent="0.2">
      <c r="A623" s="10" t="str">
        <f>"ENSG00000146215.13"</f>
        <v>ENSG00000146215.13</v>
      </c>
      <c r="B623" s="10">
        <v>1.31742553153839</v>
      </c>
      <c r="C623" s="10">
        <v>-0.62948360935650305</v>
      </c>
      <c r="D623" s="10">
        <v>6.3368258491573499</v>
      </c>
      <c r="E623" s="10">
        <v>3.5620086360369597E-2</v>
      </c>
      <c r="F623" s="10" t="str">
        <f>"CRIP3"</f>
        <v>CRIP3</v>
      </c>
      <c r="G623" s="10" t="str">
        <f t="shared" si="22"/>
        <v>protein_coding</v>
      </c>
      <c r="J623" s="14"/>
    </row>
    <row r="624" spans="1:10" x14ac:dyDescent="0.2">
      <c r="A624" s="10" t="str">
        <f>"ENSG00000204052.4"</f>
        <v>ENSG00000204052.4</v>
      </c>
      <c r="B624" s="10">
        <v>-1.67912094770725</v>
      </c>
      <c r="C624" s="10">
        <v>1.5925549242438799</v>
      </c>
      <c r="D624" s="10">
        <v>8.9382185912314398</v>
      </c>
      <c r="E624" s="10">
        <v>1.71016586131819E-2</v>
      </c>
      <c r="F624" s="10" t="str">
        <f>"LRRC73"</f>
        <v>LRRC73</v>
      </c>
      <c r="G624" s="10" t="str">
        <f t="shared" si="22"/>
        <v>protein_coding</v>
      </c>
      <c r="J624" s="14"/>
    </row>
    <row r="625" spans="1:10" x14ac:dyDescent="0.2">
      <c r="A625" s="10" t="str">
        <f>"ENSG00000178233.17"</f>
        <v>ENSG00000178233.17</v>
      </c>
      <c r="B625" s="10">
        <v>-2.0324850149405802</v>
      </c>
      <c r="C625" s="10">
        <v>-1.2808733789294899</v>
      </c>
      <c r="D625" s="10">
        <v>7.3691532181825696</v>
      </c>
      <c r="E625" s="10">
        <v>2.6171440190436199E-2</v>
      </c>
      <c r="F625" s="10" t="str">
        <f>"TMEM151B"</f>
        <v>TMEM151B</v>
      </c>
      <c r="G625" s="10" t="str">
        <f t="shared" si="22"/>
        <v>protein_coding</v>
      </c>
      <c r="J625" s="14"/>
    </row>
    <row r="626" spans="1:10" x14ac:dyDescent="0.2">
      <c r="A626" s="10" t="str">
        <f>"ENSG00000272442.2"</f>
        <v>ENSG00000272442.2</v>
      </c>
      <c r="B626" s="10">
        <v>-1.8485495752619601</v>
      </c>
      <c r="C626" s="10">
        <v>-1.08040413367463</v>
      </c>
      <c r="D626" s="10">
        <v>9.1391194201287398</v>
      </c>
      <c r="E626" s="10">
        <v>1.62473917438915E-2</v>
      </c>
      <c r="F626" s="10" t="str">
        <f>"AL353588.1"</f>
        <v>AL353588.1</v>
      </c>
      <c r="G626" s="10" t="str">
        <f t="shared" si="22"/>
        <v>protein_coding</v>
      </c>
      <c r="J626" s="14"/>
    </row>
    <row r="627" spans="1:10" x14ac:dyDescent="0.2">
      <c r="A627" s="10" t="str">
        <f>"ENSG00000112782.17"</f>
        <v>ENSG00000112782.17</v>
      </c>
      <c r="B627" s="10">
        <v>-2.2558404945694002</v>
      </c>
      <c r="C627" s="10">
        <v>-1.13013205779395</v>
      </c>
      <c r="D627" s="10">
        <v>16.204875474511901</v>
      </c>
      <c r="E627" s="10">
        <v>3.5892747154573201E-3</v>
      </c>
      <c r="F627" s="10" t="str">
        <f>"CLIC5"</f>
        <v>CLIC5</v>
      </c>
      <c r="G627" s="10" t="str">
        <f t="shared" si="22"/>
        <v>protein_coding</v>
      </c>
      <c r="J627" s="14"/>
    </row>
    <row r="628" spans="1:10" x14ac:dyDescent="0.2">
      <c r="A628" s="10" t="str">
        <f>"ENSG00000172348.14"</f>
        <v>ENSG00000172348.14</v>
      </c>
      <c r="B628" s="10">
        <v>-2.6003708266617802</v>
      </c>
      <c r="C628" s="10">
        <v>-1.3271304022377199</v>
      </c>
      <c r="D628" s="10">
        <v>5.5014817044745996</v>
      </c>
      <c r="E628" s="10">
        <v>4.6632805702150198E-2</v>
      </c>
      <c r="F628" s="10" t="str">
        <f>"RCAN2"</f>
        <v>RCAN2</v>
      </c>
      <c r="G628" s="10" t="str">
        <f t="shared" si="22"/>
        <v>protein_coding</v>
      </c>
      <c r="J628" s="14"/>
    </row>
    <row r="629" spans="1:10" x14ac:dyDescent="0.2">
      <c r="A629" s="10" t="str">
        <f>"ENSG00000112818.10"</f>
        <v>ENSG00000112818.10</v>
      </c>
      <c r="B629" s="10">
        <v>2.2027212239430201</v>
      </c>
      <c r="C629" s="10">
        <v>2.70673631345025</v>
      </c>
      <c r="D629" s="10">
        <v>18.660377231854198</v>
      </c>
      <c r="E629" s="10">
        <v>2.4743763385147999E-3</v>
      </c>
      <c r="F629" s="10" t="str">
        <f>"MEP1A"</f>
        <v>MEP1A</v>
      </c>
      <c r="G629" s="10" t="str">
        <f t="shared" si="22"/>
        <v>protein_coding</v>
      </c>
      <c r="J629" s="14"/>
    </row>
    <row r="630" spans="1:10" x14ac:dyDescent="0.2">
      <c r="A630" s="10" t="str">
        <f>"ENSG00000244067.3"</f>
        <v>ENSG00000244067.3</v>
      </c>
      <c r="B630" s="10">
        <v>-2.2573911280515899</v>
      </c>
      <c r="C630" s="10">
        <v>1.57312113403196</v>
      </c>
      <c r="D630" s="10">
        <v>31.973314053966501</v>
      </c>
      <c r="E630" s="10">
        <v>4.5804591649034398E-4</v>
      </c>
      <c r="F630" s="10" t="str">
        <f>"GSTA2"</f>
        <v>GSTA2</v>
      </c>
      <c r="G630" s="10" t="str">
        <f t="shared" si="22"/>
        <v>protein_coding</v>
      </c>
      <c r="J630" s="14"/>
    </row>
    <row r="631" spans="1:10" x14ac:dyDescent="0.2">
      <c r="A631" s="10" t="str">
        <f>"ENSG00000243955.6"</f>
        <v>ENSG00000243955.6</v>
      </c>
      <c r="B631" s="10">
        <v>-1.35377704071286</v>
      </c>
      <c r="C631" s="10">
        <v>1.85128890750092</v>
      </c>
      <c r="D631" s="10">
        <v>13.3039547416787</v>
      </c>
      <c r="E631" s="10">
        <v>6.3823112019584897E-3</v>
      </c>
      <c r="F631" s="10" t="str">
        <f>"GSTA1"</f>
        <v>GSTA1</v>
      </c>
      <c r="G631" s="10" t="str">
        <f t="shared" si="22"/>
        <v>protein_coding</v>
      </c>
      <c r="J631" s="14"/>
    </row>
    <row r="632" spans="1:10" x14ac:dyDescent="0.2">
      <c r="A632" s="10" t="str">
        <f>"ENSG00000236740.6"</f>
        <v>ENSG00000236740.6</v>
      </c>
      <c r="B632" s="10">
        <v>2.75276700961488</v>
      </c>
      <c r="C632" s="10">
        <v>-1.9710860302351001</v>
      </c>
      <c r="D632" s="10">
        <v>7.4163072146157996</v>
      </c>
      <c r="E632" s="10">
        <v>2.5820524827387802E-2</v>
      </c>
      <c r="F632" s="10" t="str">
        <f>"AL033384.1"</f>
        <v>AL033384.1</v>
      </c>
      <c r="G632" s="10" t="str">
        <f>"lincRNA"</f>
        <v>lincRNA</v>
      </c>
      <c r="J632" s="14"/>
    </row>
    <row r="633" spans="1:10" x14ac:dyDescent="0.2">
      <c r="A633" s="10" t="str">
        <f>"ENSG00000236345.1"</f>
        <v>ENSG00000236345.1</v>
      </c>
      <c r="B633" s="10">
        <v>-1.08963940645125</v>
      </c>
      <c r="C633" s="10">
        <v>1.4766545422524699</v>
      </c>
      <c r="D633" s="10">
        <v>9.4419587005131795</v>
      </c>
      <c r="E633" s="10">
        <v>1.5058514344446199E-2</v>
      </c>
      <c r="F633" s="10" t="str">
        <f>"SCAT8"</f>
        <v>SCAT8</v>
      </c>
      <c r="G633" s="10" t="str">
        <f>"antisense"</f>
        <v>antisense</v>
      </c>
      <c r="J633" s="14"/>
    </row>
    <row r="634" spans="1:10" x14ac:dyDescent="0.2">
      <c r="A634" s="10" t="str">
        <f>"ENSG00000119900.9"</f>
        <v>ENSG00000119900.9</v>
      </c>
      <c r="B634" s="10">
        <v>-1.2938023030758601</v>
      </c>
      <c r="C634" s="10">
        <v>3.2125490254287801</v>
      </c>
      <c r="D634" s="10">
        <v>28.482250189530902</v>
      </c>
      <c r="E634" s="10">
        <v>6.3861787109527302E-4</v>
      </c>
      <c r="F634" s="10" t="str">
        <f>"OGFRL1"</f>
        <v>OGFRL1</v>
      </c>
      <c r="G634" s="10" t="str">
        <f>"protein_coding"</f>
        <v>protein_coding</v>
      </c>
      <c r="J634" s="14"/>
    </row>
    <row r="635" spans="1:10" x14ac:dyDescent="0.2">
      <c r="A635" s="10" t="str">
        <f>"ENSG00000119899.13"</f>
        <v>ENSG00000119899.13</v>
      </c>
      <c r="B635" s="10">
        <v>1.15932448124294</v>
      </c>
      <c r="C635" s="10">
        <v>4.5211557886685503</v>
      </c>
      <c r="D635" s="10">
        <v>20.4155094841168</v>
      </c>
      <c r="E635" s="10">
        <v>1.8940758415598401E-3</v>
      </c>
      <c r="F635" s="10" t="str">
        <f>"SLC17A5"</f>
        <v>SLC17A5</v>
      </c>
      <c r="G635" s="10" t="str">
        <f>"protein_coding"</f>
        <v>protein_coding</v>
      </c>
      <c r="J635" s="14"/>
    </row>
    <row r="636" spans="1:10" x14ac:dyDescent="0.2">
      <c r="A636" s="10" t="str">
        <f>"ENSG00000156535.15"</f>
        <v>ENSG00000156535.15</v>
      </c>
      <c r="B636" s="10">
        <v>1.1776947034687</v>
      </c>
      <c r="C636" s="10">
        <v>6.55746006652722</v>
      </c>
      <c r="D636" s="10">
        <v>23.985434327622499</v>
      </c>
      <c r="E636" s="10">
        <v>1.1555485709569299E-3</v>
      </c>
      <c r="F636" s="10" t="str">
        <f>"CD109"</f>
        <v>CD109</v>
      </c>
      <c r="G636" s="10" t="str">
        <f>"protein_coding"</f>
        <v>protein_coding</v>
      </c>
      <c r="J636" s="14"/>
    </row>
    <row r="637" spans="1:10" x14ac:dyDescent="0.2">
      <c r="A637" s="10" t="str">
        <f>"ENSG00000112706.12"</f>
        <v>ENSG00000112706.12</v>
      </c>
      <c r="B637" s="10">
        <v>-1.1816553981706199</v>
      </c>
      <c r="C637" s="10">
        <v>-0.28994811315536301</v>
      </c>
      <c r="D637" s="10">
        <v>7.7886292930746999</v>
      </c>
      <c r="E637" s="10">
        <v>2.2873636471905601E-2</v>
      </c>
      <c r="F637" s="10" t="str">
        <f>"IMPG1"</f>
        <v>IMPG1</v>
      </c>
      <c r="G637" s="10" t="str">
        <f>"protein_coding"</f>
        <v>protein_coding</v>
      </c>
      <c r="J637" s="14"/>
    </row>
    <row r="638" spans="1:10" x14ac:dyDescent="0.2">
      <c r="A638" s="10" t="str">
        <f>"ENSG00000118402.6"</f>
        <v>ENSG00000118402.6</v>
      </c>
      <c r="B638" s="10">
        <v>-1.4359057136192801</v>
      </c>
      <c r="C638" s="10">
        <v>0.14216959681270799</v>
      </c>
      <c r="D638" s="10">
        <v>14.2688107213477</v>
      </c>
      <c r="E638" s="10">
        <v>5.1273061717000898E-3</v>
      </c>
      <c r="F638" s="10" t="str">
        <f>"ELOVL4"</f>
        <v>ELOVL4</v>
      </c>
      <c r="G638" s="10" t="str">
        <f>"protein_coding"</f>
        <v>protein_coding</v>
      </c>
      <c r="J638" s="14"/>
    </row>
    <row r="639" spans="1:10" x14ac:dyDescent="0.2">
      <c r="A639" s="10" t="str">
        <f>"ENSG00000234155.1"</f>
        <v>ENSG00000234155.1</v>
      </c>
      <c r="B639" s="10">
        <v>1.7457218774669001</v>
      </c>
      <c r="C639" s="10">
        <v>1.26000531169311</v>
      </c>
      <c r="D639" s="10">
        <v>9.1746668854685005</v>
      </c>
      <c r="E639" s="10">
        <v>1.6101870337772099E-2</v>
      </c>
      <c r="F639" s="10" t="str">
        <f>"LINC02535"</f>
        <v>LINC02535</v>
      </c>
      <c r="G639" s="10" t="str">
        <f>"lincRNA"</f>
        <v>lincRNA</v>
      </c>
      <c r="J639" s="14"/>
    </row>
    <row r="640" spans="1:10" x14ac:dyDescent="0.2">
      <c r="A640" s="10" t="str">
        <f>"ENSG00000154548.9"</f>
        <v>ENSG00000154548.9</v>
      </c>
      <c r="B640" s="10">
        <v>-1.34376702781061</v>
      </c>
      <c r="C640" s="10">
        <v>1.95643585786009</v>
      </c>
      <c r="D640" s="10">
        <v>12.853645921396399</v>
      </c>
      <c r="E640" s="10">
        <v>6.99022770712396E-3</v>
      </c>
      <c r="F640" s="10" t="str">
        <f>"SRSF12"</f>
        <v>SRSF12</v>
      </c>
      <c r="G640" s="10" t="str">
        <f>"protein_coding"</f>
        <v>protein_coding</v>
      </c>
      <c r="J640" s="14"/>
    </row>
    <row r="641" spans="1:10" x14ac:dyDescent="0.2">
      <c r="A641" s="10" t="str">
        <f>"ENSG00000146267.12"</f>
        <v>ENSG00000146267.12</v>
      </c>
      <c r="B641" s="10">
        <v>-1.76413033397069</v>
      </c>
      <c r="C641" s="10">
        <v>-0.190451288109178</v>
      </c>
      <c r="D641" s="10">
        <v>6.7788330037130597</v>
      </c>
      <c r="E641" s="10">
        <v>3.1119846364250602E-2</v>
      </c>
      <c r="F641" s="10" t="str">
        <f>"FAXC"</f>
        <v>FAXC</v>
      </c>
      <c r="G641" s="10" t="str">
        <f>"protein_coding"</f>
        <v>protein_coding</v>
      </c>
      <c r="J641" s="14"/>
    </row>
    <row r="642" spans="1:10" x14ac:dyDescent="0.2">
      <c r="A642" s="10" t="str">
        <f>"ENSG00000112246.9"</f>
        <v>ENSG00000112246.9</v>
      </c>
      <c r="B642" s="10">
        <v>-2.5504607528404102</v>
      </c>
      <c r="C642" s="10">
        <v>-1.9402397381055001</v>
      </c>
      <c r="D642" s="10">
        <v>6.4700175277062604</v>
      </c>
      <c r="E642" s="10">
        <v>3.4181954481600899E-2</v>
      </c>
      <c r="F642" s="10" t="str">
        <f>"SIM1"</f>
        <v>SIM1</v>
      </c>
      <c r="G642" s="10" t="str">
        <f>"protein_coding"</f>
        <v>protein_coding</v>
      </c>
      <c r="J642" s="14"/>
    </row>
    <row r="643" spans="1:10" x14ac:dyDescent="0.2">
      <c r="A643" s="10" t="str">
        <f>"ENSG00000203809.6"</f>
        <v>ENSG00000203809.6</v>
      </c>
      <c r="B643" s="10">
        <v>-1.15342490311073</v>
      </c>
      <c r="C643" s="10">
        <v>-0.56459960865579695</v>
      </c>
      <c r="D643" s="10">
        <v>5.6594996910906401</v>
      </c>
      <c r="E643" s="10">
        <v>4.4156222697496902E-2</v>
      </c>
      <c r="F643" s="10" t="str">
        <f>"LIN28B-AS1"</f>
        <v>LIN28B-AS1</v>
      </c>
      <c r="G643" s="10" t="str">
        <f>"lincRNA"</f>
        <v>lincRNA</v>
      </c>
      <c r="J643" s="14"/>
    </row>
    <row r="644" spans="1:10" x14ac:dyDescent="0.2">
      <c r="A644" s="10" t="str">
        <f>"ENSG00000187772.8"</f>
        <v>ENSG00000187772.8</v>
      </c>
      <c r="B644" s="10">
        <v>1.17636829864208</v>
      </c>
      <c r="C644" s="10">
        <v>4.5361474850481001</v>
      </c>
      <c r="D644" s="10">
        <v>9.7818714686069601</v>
      </c>
      <c r="E644" s="10">
        <v>1.38513488095544E-2</v>
      </c>
      <c r="F644" s="10" t="str">
        <f>"LIN28B"</f>
        <v>LIN28B</v>
      </c>
      <c r="G644" s="10" t="str">
        <f>"protein_coding"</f>
        <v>protein_coding</v>
      </c>
      <c r="J644" s="14"/>
    </row>
    <row r="645" spans="1:10" x14ac:dyDescent="0.2">
      <c r="A645" s="10" t="str">
        <f>"ENSG00000112297.15"</f>
        <v>ENSG00000112297.15</v>
      </c>
      <c r="B645" s="10">
        <v>1.1107251304891801</v>
      </c>
      <c r="C645" s="10">
        <v>5.8715515414365802</v>
      </c>
      <c r="D645" s="10">
        <v>31.896048961926901</v>
      </c>
      <c r="E645" s="10">
        <v>4.34438029131231E-4</v>
      </c>
      <c r="F645" s="10" t="str">
        <f>"CRYBG1"</f>
        <v>CRYBG1</v>
      </c>
      <c r="G645" s="10" t="str">
        <f>"protein_coding"</f>
        <v>protein_coding</v>
      </c>
      <c r="J645" s="14"/>
    </row>
    <row r="646" spans="1:10" x14ac:dyDescent="0.2">
      <c r="A646" s="10" t="str">
        <f>"ENSG00000235142.9"</f>
        <v>ENSG00000235142.9</v>
      </c>
      <c r="B646" s="10">
        <v>2.7867253483462102</v>
      </c>
      <c r="C646" s="10">
        <v>3.0202199904739002</v>
      </c>
      <c r="D646" s="10">
        <v>11.3155854264685</v>
      </c>
      <c r="E646" s="10">
        <v>9.6996020784799204E-3</v>
      </c>
      <c r="F646" s="10" t="str">
        <f>"LINC02532"</f>
        <v>LINC02532</v>
      </c>
      <c r="G646" s="10" t="str">
        <f>"processed_transcript"</f>
        <v>processed_transcript</v>
      </c>
      <c r="J646" s="14"/>
    </row>
    <row r="647" spans="1:10" x14ac:dyDescent="0.2">
      <c r="A647" s="10" t="str">
        <f>"ENSG00000112333.11"</f>
        <v>ENSG00000112333.11</v>
      </c>
      <c r="B647" s="10">
        <v>-3.0389627871286198</v>
      </c>
      <c r="C647" s="10">
        <v>-2.1561975332327301</v>
      </c>
      <c r="D647" s="10">
        <v>5.9853161506520998</v>
      </c>
      <c r="E647" s="10">
        <v>3.98013911717124E-2</v>
      </c>
      <c r="F647" s="10" t="str">
        <f>"NR2E1"</f>
        <v>NR2E1</v>
      </c>
      <c r="G647" s="10" t="str">
        <f t="shared" ref="G647:G652" si="23">"protein_coding"</f>
        <v>protein_coding</v>
      </c>
      <c r="J647" s="14"/>
    </row>
    <row r="648" spans="1:10" x14ac:dyDescent="0.2">
      <c r="A648" s="10" t="str">
        <f>"ENSG00000249853.7"</f>
        <v>ENSG00000249853.7</v>
      </c>
      <c r="B648" s="10">
        <v>1.57673616524529</v>
      </c>
      <c r="C648" s="10">
        <v>1.88478887142565</v>
      </c>
      <c r="D648" s="10">
        <v>7.5844392175951203</v>
      </c>
      <c r="E648" s="10">
        <v>2.4616633996041901E-2</v>
      </c>
      <c r="F648" s="10" t="str">
        <f>"HS3ST5"</f>
        <v>HS3ST5</v>
      </c>
      <c r="G648" s="10" t="str">
        <f t="shared" si="23"/>
        <v>protein_coding</v>
      </c>
      <c r="J648" s="14"/>
    </row>
    <row r="649" spans="1:10" x14ac:dyDescent="0.2">
      <c r="A649" s="10" t="str">
        <f>"ENSG00000047936.10"</f>
        <v>ENSG00000047936.10</v>
      </c>
      <c r="B649" s="10">
        <v>-1.34817029065406</v>
      </c>
      <c r="C649" s="10">
        <v>-0.537838942735821</v>
      </c>
      <c r="D649" s="10">
        <v>7.9519197261647703</v>
      </c>
      <c r="E649" s="10">
        <v>2.2095902541343901E-2</v>
      </c>
      <c r="F649" s="10" t="str">
        <f>"ROS1"</f>
        <v>ROS1</v>
      </c>
      <c r="G649" s="10" t="str">
        <f t="shared" si="23"/>
        <v>protein_coding</v>
      </c>
      <c r="J649" s="14"/>
    </row>
    <row r="650" spans="1:10" x14ac:dyDescent="0.2">
      <c r="A650" s="10" t="str">
        <f>"ENSG00000172594.13"</f>
        <v>ENSG00000172594.13</v>
      </c>
      <c r="B650" s="10">
        <v>2.0397827082492399</v>
      </c>
      <c r="C650" s="10">
        <v>4.41422054773121</v>
      </c>
      <c r="D650" s="10">
        <v>17.2702603609562</v>
      </c>
      <c r="E650" s="10">
        <v>3.0990785535762299E-3</v>
      </c>
      <c r="F650" s="10" t="str">
        <f>"SMPDL3A"</f>
        <v>SMPDL3A</v>
      </c>
      <c r="G650" s="10" t="str">
        <f t="shared" si="23"/>
        <v>protein_coding</v>
      </c>
      <c r="J650" s="14"/>
    </row>
    <row r="651" spans="1:10" x14ac:dyDescent="0.2">
      <c r="A651" s="10" t="str">
        <f>"ENSG00000111907.21"</f>
        <v>ENSG00000111907.21</v>
      </c>
      <c r="B651" s="10">
        <v>-1.3402353894972101</v>
      </c>
      <c r="C651" s="10">
        <v>-0.68108738628425702</v>
      </c>
      <c r="D651" s="10">
        <v>6.3665814757470898</v>
      </c>
      <c r="E651" s="10">
        <v>3.5292252851903502E-2</v>
      </c>
      <c r="F651" s="10" t="str">
        <f>"TPD52L1"</f>
        <v>TPD52L1</v>
      </c>
      <c r="G651" s="10" t="str">
        <f t="shared" si="23"/>
        <v>protein_coding</v>
      </c>
      <c r="J651" s="14"/>
    </row>
    <row r="652" spans="1:10" x14ac:dyDescent="0.2">
      <c r="A652" s="10" t="str">
        <f>"ENSG00000111912.20"</f>
        <v>ENSG00000111912.20</v>
      </c>
      <c r="B652" s="10">
        <v>1.3194444246189001</v>
      </c>
      <c r="C652" s="10">
        <v>3.2066639444909502</v>
      </c>
      <c r="D652" s="10">
        <v>14.157365790040499</v>
      </c>
      <c r="E652" s="10">
        <v>5.40124684668793E-3</v>
      </c>
      <c r="F652" s="10" t="str">
        <f>"NCOA7"</f>
        <v>NCOA7</v>
      </c>
      <c r="G652" s="10" t="str">
        <f t="shared" si="23"/>
        <v>protein_coding</v>
      </c>
      <c r="J652" s="14"/>
    </row>
    <row r="653" spans="1:10" x14ac:dyDescent="0.2">
      <c r="A653" s="10" t="str">
        <f>"ENSG00000286215.1"</f>
        <v>ENSG00000286215.1</v>
      </c>
      <c r="B653" s="10">
        <v>-1.0901283218087301</v>
      </c>
      <c r="C653" s="10">
        <v>-0.54962399124258499</v>
      </c>
      <c r="D653" s="10">
        <v>6.2293634296902498</v>
      </c>
      <c r="E653" s="10">
        <v>3.6374852090658397E-2</v>
      </c>
      <c r="F653" s="10" t="str">
        <f>"AL356534.1"</f>
        <v>AL356534.1</v>
      </c>
      <c r="G653" s="10" t="str">
        <f>"transcribed_processed_pseudogene"</f>
        <v>transcribed_processed_pseudogene</v>
      </c>
      <c r="J653" s="14"/>
    </row>
    <row r="654" spans="1:10" x14ac:dyDescent="0.2">
      <c r="A654" s="10" t="str">
        <f>"ENSG00000256162.2"</f>
        <v>ENSG00000256162.2</v>
      </c>
      <c r="B654" s="10">
        <v>1.4107230615408199</v>
      </c>
      <c r="C654" s="10">
        <v>5.7200072386757697</v>
      </c>
      <c r="D654" s="10">
        <v>23.152357517711199</v>
      </c>
      <c r="E654" s="10">
        <v>1.2899087265955799E-3</v>
      </c>
      <c r="F654" s="10" t="str">
        <f>"SMLR1"</f>
        <v>SMLR1</v>
      </c>
      <c r="G654" s="10" t="str">
        <f>"protein_coding"</f>
        <v>protein_coding</v>
      </c>
      <c r="J654" s="14"/>
    </row>
    <row r="655" spans="1:10" x14ac:dyDescent="0.2">
      <c r="A655" s="10" t="str">
        <f>"ENSG00000197594.13"</f>
        <v>ENSG00000197594.13</v>
      </c>
      <c r="B655" s="10">
        <v>1.2229273741432101</v>
      </c>
      <c r="C655" s="10">
        <v>6.7134807587910803</v>
      </c>
      <c r="D655" s="10">
        <v>8.9644573091132393</v>
      </c>
      <c r="E655" s="10">
        <v>1.69869310584666E-2</v>
      </c>
      <c r="F655" s="10" t="str">
        <f>"ENPP1"</f>
        <v>ENPP1</v>
      </c>
      <c r="G655" s="10" t="str">
        <f>"protein_coding"</f>
        <v>protein_coding</v>
      </c>
      <c r="J655" s="14"/>
    </row>
    <row r="656" spans="1:10" x14ac:dyDescent="0.2">
      <c r="A656" s="10" t="str">
        <f>"ENSG00000118523.6"</f>
        <v>ENSG00000118523.6</v>
      </c>
      <c r="B656" s="10">
        <v>1.83631062592709</v>
      </c>
      <c r="C656" s="10">
        <v>7.4969829751857704</v>
      </c>
      <c r="D656" s="10">
        <v>52.298498201375999</v>
      </c>
      <c r="E656" s="13">
        <v>8.4241778343346706E-5</v>
      </c>
      <c r="F656" s="10" t="str">
        <f>"CCN2"</f>
        <v>CCN2</v>
      </c>
      <c r="G656" s="10" t="str">
        <f>"protein_coding"</f>
        <v>protein_coding</v>
      </c>
      <c r="J656" s="14"/>
    </row>
    <row r="657" spans="1:10" x14ac:dyDescent="0.2">
      <c r="A657" s="10" t="str">
        <f>"ENSG00000112299.8"</f>
        <v>ENSG00000112299.8</v>
      </c>
      <c r="B657" s="10">
        <v>3.1065193783040601</v>
      </c>
      <c r="C657" s="10">
        <v>3.7628403813064901</v>
      </c>
      <c r="D657" s="10">
        <v>80.752928038041702</v>
      </c>
      <c r="E657" s="13">
        <v>1.7311672486764599E-5</v>
      </c>
      <c r="F657" s="10" t="str">
        <f>"VNN1"</f>
        <v>VNN1</v>
      </c>
      <c r="G657" s="10" t="str">
        <f>"protein_coding"</f>
        <v>protein_coding</v>
      </c>
      <c r="J657" s="14"/>
    </row>
    <row r="658" spans="1:10" x14ac:dyDescent="0.2">
      <c r="A658" s="10" t="str">
        <f>"ENSG00000231023.6"</f>
        <v>ENSG00000231023.6</v>
      </c>
      <c r="B658" s="10">
        <v>2.49924472170727</v>
      </c>
      <c r="C658" s="10">
        <v>-0.54126785885935802</v>
      </c>
      <c r="D658" s="10">
        <v>19.120652884479199</v>
      </c>
      <c r="E658" s="10">
        <v>2.3028744689007402E-3</v>
      </c>
      <c r="F658" s="10" t="str">
        <f>"LINC00326"</f>
        <v>LINC00326</v>
      </c>
      <c r="G658" s="10" t="str">
        <f>"lincRNA"</f>
        <v>lincRNA</v>
      </c>
      <c r="J658" s="14"/>
    </row>
    <row r="659" spans="1:10" x14ac:dyDescent="0.2">
      <c r="A659" s="10" t="str">
        <f>"ENSG00000118515.11"</f>
        <v>ENSG00000118515.11</v>
      </c>
      <c r="B659" s="10">
        <v>1.47809102733783</v>
      </c>
      <c r="C659" s="10">
        <v>5.1016006588887803</v>
      </c>
      <c r="D659" s="10">
        <v>23.1172112429105</v>
      </c>
      <c r="E659" s="10">
        <v>1.29599520039311E-3</v>
      </c>
      <c r="F659" s="10" t="str">
        <f>"SGK1"</f>
        <v>SGK1</v>
      </c>
      <c r="G659" s="10" t="str">
        <f>"protein_coding"</f>
        <v>protein_coding</v>
      </c>
      <c r="J659" s="14"/>
    </row>
    <row r="660" spans="1:10" x14ac:dyDescent="0.2">
      <c r="A660" s="10" t="str">
        <f>"ENSG00000118514.14"</f>
        <v>ENSG00000118514.14</v>
      </c>
      <c r="B660" s="10">
        <v>1.17415747331554</v>
      </c>
      <c r="C660" s="10">
        <v>1.7058333069468701</v>
      </c>
      <c r="D660" s="10">
        <v>13.3804881702596</v>
      </c>
      <c r="E660" s="10">
        <v>6.2776378773591801E-3</v>
      </c>
      <c r="F660" s="10" t="str">
        <f>"ALDH8A1"</f>
        <v>ALDH8A1</v>
      </c>
      <c r="G660" s="10" t="str">
        <f>"protein_coding"</f>
        <v>protein_coding</v>
      </c>
      <c r="J660" s="14"/>
    </row>
    <row r="661" spans="1:10" x14ac:dyDescent="0.2">
      <c r="A661" s="10" t="str">
        <f>"ENSG00000231028.8"</f>
        <v>ENSG00000231028.8</v>
      </c>
      <c r="B661" s="10">
        <v>1.8490542370554199</v>
      </c>
      <c r="C661" s="10">
        <v>-0.69132334770207404</v>
      </c>
      <c r="D661" s="10">
        <v>13.4915041905085</v>
      </c>
      <c r="E661" s="10">
        <v>6.0700501645859304E-3</v>
      </c>
      <c r="F661" s="10" t="str">
        <f>"LINC00271"</f>
        <v>LINC00271</v>
      </c>
      <c r="G661" s="10" t="str">
        <f>"lincRNA"</f>
        <v>lincRNA</v>
      </c>
      <c r="J661" s="14"/>
    </row>
    <row r="662" spans="1:10" x14ac:dyDescent="0.2">
      <c r="A662" s="10" t="str">
        <f>"ENSG00000135525.18"</f>
        <v>ENSG00000135525.18</v>
      </c>
      <c r="B662" s="10">
        <v>-1.0423817069966299</v>
      </c>
      <c r="C662" s="10">
        <v>0.43914697080606802</v>
      </c>
      <c r="D662" s="10">
        <v>7.1543711833298103</v>
      </c>
      <c r="E662" s="10">
        <v>2.7842186565771799E-2</v>
      </c>
      <c r="F662" s="10" t="str">
        <f>"MAP7"</f>
        <v>MAP7</v>
      </c>
      <c r="G662" s="10" t="str">
        <f>"protein_coding"</f>
        <v>protein_coding</v>
      </c>
      <c r="J662" s="14"/>
    </row>
    <row r="663" spans="1:10" x14ac:dyDescent="0.2">
      <c r="A663" s="10" t="str">
        <f>"ENSG00000118503.15"</f>
        <v>ENSG00000118503.15</v>
      </c>
      <c r="B663" s="10">
        <v>1.3928603089740901</v>
      </c>
      <c r="C663" s="10">
        <v>5.6804081197374101</v>
      </c>
      <c r="D663" s="10">
        <v>33.484497171175903</v>
      </c>
      <c r="E663" s="10">
        <v>3.9288341551977301E-4</v>
      </c>
      <c r="F663" s="10" t="str">
        <f>"TNFAIP3"</f>
        <v>TNFAIP3</v>
      </c>
      <c r="G663" s="10" t="str">
        <f>"protein_coding"</f>
        <v>protein_coding</v>
      </c>
      <c r="J663" s="14"/>
    </row>
    <row r="664" spans="1:10" x14ac:dyDescent="0.2">
      <c r="A664" s="10" t="str">
        <f>"ENSG00000112379.9"</f>
        <v>ENSG00000112379.9</v>
      </c>
      <c r="B664" s="10">
        <v>1.27278703292295</v>
      </c>
      <c r="C664" s="10">
        <v>5.1852547322938696</v>
      </c>
      <c r="D664" s="10">
        <v>34.4164553420405</v>
      </c>
      <c r="E664" s="10">
        <v>3.5842002476862099E-4</v>
      </c>
      <c r="F664" s="10" t="str">
        <f>"ARFGEF3"</f>
        <v>ARFGEF3</v>
      </c>
      <c r="G664" s="10" t="str">
        <f>"protein_coding"</f>
        <v>protein_coding</v>
      </c>
      <c r="J664" s="14"/>
    </row>
    <row r="665" spans="1:10" x14ac:dyDescent="0.2">
      <c r="A665" s="10" t="str">
        <f>"ENSG00000178199.13"</f>
        <v>ENSG00000178199.13</v>
      </c>
      <c r="B665" s="10">
        <v>1.08385916446223</v>
      </c>
      <c r="C665" s="10">
        <v>2.1264900454359501</v>
      </c>
      <c r="D665" s="10">
        <v>8.7617098731319807</v>
      </c>
      <c r="E665" s="10">
        <v>1.7899318204545302E-2</v>
      </c>
      <c r="F665" s="10" t="str">
        <f>"ZC3H12D"</f>
        <v>ZC3H12D</v>
      </c>
      <c r="G665" s="10" t="str">
        <f>"protein_coding"</f>
        <v>protein_coding</v>
      </c>
      <c r="J665" s="14"/>
    </row>
    <row r="666" spans="1:10" x14ac:dyDescent="0.2">
      <c r="A666" s="10" t="str">
        <f>"ENSG00000278899.1"</f>
        <v>ENSG00000278899.1</v>
      </c>
      <c r="B666" s="10">
        <v>-1.4069243250210799</v>
      </c>
      <c r="C666" s="10">
        <v>-0.49259193039678201</v>
      </c>
      <c r="D666" s="10">
        <v>8.1500944932696999</v>
      </c>
      <c r="E666" s="10">
        <v>2.10524650256818E-2</v>
      </c>
      <c r="F666" s="10" t="str">
        <f>"AL358852.1"</f>
        <v>AL358852.1</v>
      </c>
      <c r="G666" s="10" t="str">
        <f>"antisense"</f>
        <v>antisense</v>
      </c>
      <c r="J666" s="14"/>
    </row>
    <row r="667" spans="1:10" x14ac:dyDescent="0.2">
      <c r="A667" s="10" t="str">
        <f>"ENSG00000111981.5"</f>
        <v>ENSG00000111981.5</v>
      </c>
      <c r="B667" s="10">
        <v>-2.1217377173337799</v>
      </c>
      <c r="C667" s="10">
        <v>0.29019338201508899</v>
      </c>
      <c r="D667" s="10">
        <v>8.3457653581164593</v>
      </c>
      <c r="E667" s="10">
        <v>1.9972623073193401E-2</v>
      </c>
      <c r="F667" s="10" t="str">
        <f>"ULBP1"</f>
        <v>ULBP1</v>
      </c>
      <c r="G667" s="10" t="str">
        <f>"protein_coding"</f>
        <v>protein_coding</v>
      </c>
      <c r="J667" s="14"/>
    </row>
    <row r="668" spans="1:10" x14ac:dyDescent="0.2">
      <c r="A668" s="10" t="str">
        <f>"ENSG00000218358.2"</f>
        <v>ENSG00000218358.2</v>
      </c>
      <c r="B668" s="10">
        <v>-1.79912053304298</v>
      </c>
      <c r="C668" s="10">
        <v>-0.15096958056137699</v>
      </c>
      <c r="D668" s="10">
        <v>17.694634829499101</v>
      </c>
      <c r="E668" s="10">
        <v>2.808117032949E-3</v>
      </c>
      <c r="F668" s="10" t="str">
        <f>"RAET1K"</f>
        <v>RAET1K</v>
      </c>
      <c r="G668" s="10" t="str">
        <f>"transcribed_unprocessed_pseudogene"</f>
        <v>transcribed_unprocessed_pseudogene</v>
      </c>
      <c r="J668" s="14"/>
    </row>
    <row r="669" spans="1:10" x14ac:dyDescent="0.2">
      <c r="A669" s="10" t="str">
        <f>"ENSG00000074706.13"</f>
        <v>ENSG00000074706.13</v>
      </c>
      <c r="B669" s="10">
        <v>-2.7791060684212301</v>
      </c>
      <c r="C669" s="10">
        <v>-1.48303135441004</v>
      </c>
      <c r="D669" s="10">
        <v>12.8483651928331</v>
      </c>
      <c r="E669" s="10">
        <v>6.9958997304046698E-3</v>
      </c>
      <c r="F669" s="10" t="str">
        <f>"IPCEF1"</f>
        <v>IPCEF1</v>
      </c>
      <c r="G669" s="10" t="str">
        <f>"protein_coding"</f>
        <v>protein_coding</v>
      </c>
      <c r="J669" s="14"/>
    </row>
    <row r="670" spans="1:10" x14ac:dyDescent="0.2">
      <c r="A670" s="10" t="str">
        <f>"ENSG00000146453.13"</f>
        <v>ENSG00000146453.13</v>
      </c>
      <c r="B670" s="10">
        <v>-2.7197815362425999</v>
      </c>
      <c r="C670" s="10">
        <v>-0.50490895154477</v>
      </c>
      <c r="D670" s="10">
        <v>12.5291402580552</v>
      </c>
      <c r="E670" s="10">
        <v>7.4737699453686296E-3</v>
      </c>
      <c r="F670" s="10" t="str">
        <f>"PNLDC1"</f>
        <v>PNLDC1</v>
      </c>
      <c r="G670" s="10" t="str">
        <f>"protein_coding"</f>
        <v>protein_coding</v>
      </c>
      <c r="J670" s="14"/>
    </row>
    <row r="671" spans="1:10" x14ac:dyDescent="0.2">
      <c r="A671" s="10" t="str">
        <f>"ENSG00000272841.1"</f>
        <v>ENSG00000272841.1</v>
      </c>
      <c r="B671" s="10">
        <v>-1.5907265889247599</v>
      </c>
      <c r="C671" s="10">
        <v>1.9279073932356701</v>
      </c>
      <c r="D671" s="10">
        <v>37.485325553717097</v>
      </c>
      <c r="E671" s="10">
        <v>2.5087749064877599E-4</v>
      </c>
      <c r="F671" s="10" t="str">
        <f>"AL139393.2"</f>
        <v>AL139393.2</v>
      </c>
      <c r="G671" s="10" t="str">
        <f>"antisense"</f>
        <v>antisense</v>
      </c>
      <c r="J671" s="14"/>
    </row>
    <row r="672" spans="1:10" x14ac:dyDescent="0.2">
      <c r="A672" s="10" t="str">
        <f>"ENSG00000112530.11"</f>
        <v>ENSG00000112530.11</v>
      </c>
      <c r="B672" s="10">
        <v>-5.19703668664072</v>
      </c>
      <c r="C672" s="10">
        <v>-2.09517497587867</v>
      </c>
      <c r="D672" s="10">
        <v>16.692668504774801</v>
      </c>
      <c r="E672" s="10">
        <v>6.0500234738471298E-3</v>
      </c>
      <c r="F672" s="10" t="str">
        <f>"PACRG"</f>
        <v>PACRG</v>
      </c>
      <c r="G672" s="10" t="str">
        <f>"protein_coding"</f>
        <v>protein_coding</v>
      </c>
      <c r="J672" s="14"/>
    </row>
    <row r="673" spans="1:10" x14ac:dyDescent="0.2">
      <c r="A673" s="10" t="str">
        <f>"ENSG00000112541.14"</f>
        <v>ENSG00000112541.14</v>
      </c>
      <c r="B673" s="10">
        <v>-1.4810512524116399</v>
      </c>
      <c r="C673" s="10">
        <v>-0.52298554263125496</v>
      </c>
      <c r="D673" s="10">
        <v>6.2144824099849298</v>
      </c>
      <c r="E673" s="10">
        <v>3.70092555614858E-2</v>
      </c>
      <c r="F673" s="10" t="str">
        <f>"PDE10A"</f>
        <v>PDE10A</v>
      </c>
      <c r="G673" s="10" t="str">
        <f>"protein_coding"</f>
        <v>protein_coding</v>
      </c>
      <c r="J673" s="14"/>
    </row>
    <row r="674" spans="1:10" x14ac:dyDescent="0.2">
      <c r="A674" s="10" t="str">
        <f>"ENSG00000112486.16"</f>
        <v>ENSG00000112486.16</v>
      </c>
      <c r="B674" s="10">
        <v>2.1440870037736999</v>
      </c>
      <c r="C674" s="10">
        <v>-0.80183837884269205</v>
      </c>
      <c r="D674" s="10">
        <v>6.0147867914862596</v>
      </c>
      <c r="E674" s="10">
        <v>3.94276957981343E-2</v>
      </c>
      <c r="F674" s="10" t="str">
        <f>"CCR6"</f>
        <v>CCR6</v>
      </c>
      <c r="G674" s="10" t="str">
        <f>"protein_coding"</f>
        <v>protein_coding</v>
      </c>
      <c r="J674" s="14"/>
    </row>
    <row r="675" spans="1:10" x14ac:dyDescent="0.2">
      <c r="A675" s="10" t="str">
        <f>"ENSG00000272549.1"</f>
        <v>ENSG00000272549.1</v>
      </c>
      <c r="B675" s="10">
        <v>1.78809912203993</v>
      </c>
      <c r="C675" s="10">
        <v>-1.14748517303971</v>
      </c>
      <c r="D675" s="10">
        <v>6.4299111834667801</v>
      </c>
      <c r="E675" s="10">
        <v>3.4607138003744702E-2</v>
      </c>
      <c r="F675" s="10" t="str">
        <f>"LINC02538"</f>
        <v>LINC02538</v>
      </c>
      <c r="G675" s="10" t="str">
        <f>"lincRNA"</f>
        <v>lincRNA</v>
      </c>
      <c r="J675" s="14"/>
    </row>
    <row r="676" spans="1:10" x14ac:dyDescent="0.2">
      <c r="A676" s="10" t="str">
        <f>"ENSG00000203688.5"</f>
        <v>ENSG00000203688.5</v>
      </c>
      <c r="B676" s="10">
        <v>2.2742711539466001</v>
      </c>
      <c r="C676" s="10">
        <v>-1.1138479073566501</v>
      </c>
      <c r="D676" s="10">
        <v>7.9854368479915596</v>
      </c>
      <c r="E676" s="10">
        <v>2.20187000598553E-2</v>
      </c>
      <c r="F676" s="10" t="str">
        <f>"LINC02487"</f>
        <v>LINC02487</v>
      </c>
      <c r="G676" s="10" t="str">
        <f>"lincRNA"</f>
        <v>lincRNA</v>
      </c>
      <c r="J676" s="14"/>
    </row>
    <row r="677" spans="1:10" x14ac:dyDescent="0.2">
      <c r="A677" s="10" t="str">
        <f>"ENSG00000198221.8"</f>
        <v>ENSG00000198221.8</v>
      </c>
      <c r="B677" s="10">
        <v>1.35250354171698</v>
      </c>
      <c r="C677" s="10">
        <v>1.4566886830296699</v>
      </c>
      <c r="D677" s="10">
        <v>15.4904219471359</v>
      </c>
      <c r="E677" s="10">
        <v>4.2172952916804301E-3</v>
      </c>
      <c r="F677" s="10" t="str">
        <f>"AFDN-DT"</f>
        <v>AFDN-DT</v>
      </c>
      <c r="G677" s="10" t="str">
        <f>"lincRNA"</f>
        <v>lincRNA</v>
      </c>
      <c r="J677" s="14"/>
    </row>
    <row r="678" spans="1:10" x14ac:dyDescent="0.2">
      <c r="A678" s="10" t="str">
        <f>"ENSG00000164488.12"</f>
        <v>ENSG00000164488.12</v>
      </c>
      <c r="B678" s="10">
        <v>1.32875060595224</v>
      </c>
      <c r="C678" s="10">
        <v>1.6340040371817799</v>
      </c>
      <c r="D678" s="10">
        <v>7.5904147480552897</v>
      </c>
      <c r="E678" s="10">
        <v>2.4575164199121698E-2</v>
      </c>
      <c r="F678" s="10" t="str">
        <f>"DACT2"</f>
        <v>DACT2</v>
      </c>
      <c r="G678" s="10" t="str">
        <f>"protein_coding"</f>
        <v>protein_coding</v>
      </c>
      <c r="J678" s="14"/>
    </row>
    <row r="679" spans="1:10" x14ac:dyDescent="0.2">
      <c r="A679" s="10" t="str">
        <f>"ENSG00000224417.2"</f>
        <v>ENSG00000224417.2</v>
      </c>
      <c r="B679" s="10">
        <v>1.00181461112022</v>
      </c>
      <c r="C679" s="10">
        <v>3.7867535009255602</v>
      </c>
      <c r="D679" s="10">
        <v>15.001319638625001</v>
      </c>
      <c r="E679" s="10">
        <v>4.6098787606588297E-3</v>
      </c>
      <c r="F679" s="10" t="str">
        <f>"AL606970.1"</f>
        <v>AL606970.1</v>
      </c>
      <c r="G679" s="10" t="str">
        <f>"sense_intronic"</f>
        <v>sense_intronic</v>
      </c>
      <c r="J679" s="14"/>
    </row>
    <row r="680" spans="1:10" x14ac:dyDescent="0.2">
      <c r="A680" s="10" t="str">
        <f>"ENSG00000198719.9"</f>
        <v>ENSG00000198719.9</v>
      </c>
      <c r="B680" s="10">
        <v>-2.2332549064668501</v>
      </c>
      <c r="C680" s="10">
        <v>0.60578730120693902</v>
      </c>
      <c r="D680" s="10">
        <v>23.985490117433599</v>
      </c>
      <c r="E680" s="10">
        <v>1.15554017433397E-3</v>
      </c>
      <c r="F680" s="10" t="str">
        <f>"DLL1"</f>
        <v>DLL1</v>
      </c>
      <c r="G680" s="10" t="str">
        <f>"protein_coding"</f>
        <v>protein_coding</v>
      </c>
      <c r="J680" s="14"/>
    </row>
    <row r="681" spans="1:10" x14ac:dyDescent="0.2">
      <c r="A681" s="10" t="str">
        <f>"ENSG00000164850.15"</f>
        <v>ENSG00000164850.15</v>
      </c>
      <c r="B681" s="10">
        <v>1.21597500544252</v>
      </c>
      <c r="C681" s="10">
        <v>2.9760569374329902</v>
      </c>
      <c r="D681" s="10">
        <v>16.688206830933701</v>
      </c>
      <c r="E681" s="10">
        <v>3.4187124069090802E-3</v>
      </c>
      <c r="F681" s="10" t="str">
        <f>"GPER1"</f>
        <v>GPER1</v>
      </c>
      <c r="G681" s="10" t="str">
        <f>"protein_coding"</f>
        <v>protein_coding</v>
      </c>
      <c r="J681" s="14"/>
    </row>
    <row r="682" spans="1:10" x14ac:dyDescent="0.2">
      <c r="A682" s="10" t="str">
        <f>"ENSG00000002822.15"</f>
        <v>ENSG00000002822.15</v>
      </c>
      <c r="B682" s="10">
        <v>-1.0933817052344399</v>
      </c>
      <c r="C682" s="10">
        <v>1.74218905866678E-2</v>
      </c>
      <c r="D682" s="10">
        <v>6.6079137225885596</v>
      </c>
      <c r="E682" s="10">
        <v>3.2769588857643903E-2</v>
      </c>
      <c r="F682" s="10" t="str">
        <f>"MAD1L1"</f>
        <v>MAD1L1</v>
      </c>
      <c r="G682" s="10" t="str">
        <f>"protein_coding"</f>
        <v>protein_coding</v>
      </c>
      <c r="J682" s="14"/>
    </row>
    <row r="683" spans="1:10" x14ac:dyDescent="0.2">
      <c r="A683" s="10" t="str">
        <f>"ENSG00000106003.13"</f>
        <v>ENSG00000106003.13</v>
      </c>
      <c r="B683" s="10">
        <v>-1.13160699640221</v>
      </c>
      <c r="C683" s="10">
        <v>3.50028021465643</v>
      </c>
      <c r="D683" s="10">
        <v>11.296114370469599</v>
      </c>
      <c r="E683" s="10">
        <v>9.7416576219118995E-3</v>
      </c>
      <c r="F683" s="10" t="str">
        <f>"LFNG"</f>
        <v>LFNG</v>
      </c>
      <c r="G683" s="10" t="str">
        <f>"protein_coding"</f>
        <v>protein_coding</v>
      </c>
      <c r="J683" s="14"/>
    </row>
    <row r="684" spans="1:10" x14ac:dyDescent="0.2">
      <c r="A684" s="10" t="str">
        <f>"ENSG00000231704.5"</f>
        <v>ENSG00000231704.5</v>
      </c>
      <c r="B684" s="10">
        <v>-1.5581067237008499</v>
      </c>
      <c r="C684" s="10">
        <v>-1.2448099219481099</v>
      </c>
      <c r="D684" s="10">
        <v>6.2001019384581104</v>
      </c>
      <c r="E684" s="10">
        <v>3.7048696024346899E-2</v>
      </c>
      <c r="F684" s="10" t="str">
        <f>"AC004895.1"</f>
        <v>AC004895.1</v>
      </c>
      <c r="G684" s="10" t="str">
        <f>"lincRNA"</f>
        <v>lincRNA</v>
      </c>
      <c r="J684" s="14"/>
    </row>
    <row r="685" spans="1:10" x14ac:dyDescent="0.2">
      <c r="A685" s="10" t="str">
        <f>"ENSG00000228010.5"</f>
        <v>ENSG00000228010.5</v>
      </c>
      <c r="B685" s="10">
        <v>-1.02715095349259</v>
      </c>
      <c r="C685" s="10">
        <v>0.119506782247685</v>
      </c>
      <c r="D685" s="10">
        <v>5.5078435748347196</v>
      </c>
      <c r="E685" s="10">
        <v>4.6533700828396397E-2</v>
      </c>
      <c r="F685" s="10" t="str">
        <f>"AC073343.2"</f>
        <v>AC073343.2</v>
      </c>
      <c r="G685" s="10" t="str">
        <f>"antisense"</f>
        <v>antisense</v>
      </c>
      <c r="J685" s="14"/>
    </row>
    <row r="686" spans="1:10" x14ac:dyDescent="0.2">
      <c r="A686" s="10" t="str">
        <f>"ENSG00000226943.3"</f>
        <v>ENSG00000226943.3</v>
      </c>
      <c r="B686" s="10">
        <v>-2.0461970202383601</v>
      </c>
      <c r="C686" s="10">
        <v>-1.89606317221849</v>
      </c>
      <c r="D686" s="10">
        <v>5.7254374333971096</v>
      </c>
      <c r="E686" s="10">
        <v>4.3232945042018897E-2</v>
      </c>
      <c r="F686" s="10" t="str">
        <f>"ALG1L5P"</f>
        <v>ALG1L5P</v>
      </c>
      <c r="G686" s="10" t="str">
        <f>"unprocessed_pseudogene"</f>
        <v>unprocessed_pseudogene</v>
      </c>
      <c r="J686" s="14"/>
    </row>
    <row r="687" spans="1:10" x14ac:dyDescent="0.2">
      <c r="A687" s="10" t="str">
        <f>"ENSG00000244167.1"</f>
        <v>ENSG00000244167.1</v>
      </c>
      <c r="B687" s="10">
        <v>2.1390898199166899</v>
      </c>
      <c r="C687" s="10">
        <v>-1.73672706878645</v>
      </c>
      <c r="D687" s="10">
        <v>7.2104326974634301</v>
      </c>
      <c r="E687" s="10">
        <v>2.7397753911154898E-2</v>
      </c>
      <c r="F687" s="10" t="str">
        <f>"AC005532.2"</f>
        <v>AC005532.2</v>
      </c>
      <c r="G687" s="10" t="str">
        <f>"processed_pseudogene"</f>
        <v>processed_pseudogene</v>
      </c>
      <c r="J687" s="14"/>
    </row>
    <row r="688" spans="1:10" x14ac:dyDescent="0.2">
      <c r="A688" s="10" t="str">
        <f>"ENSG00000106541.12"</f>
        <v>ENSG00000106541.12</v>
      </c>
      <c r="B688" s="10">
        <v>1.2628654421037</v>
      </c>
      <c r="C688" s="10">
        <v>2.9591066688580701</v>
      </c>
      <c r="D688" s="10">
        <v>13.1700344653377</v>
      </c>
      <c r="E688" s="10">
        <v>6.5559338167693803E-3</v>
      </c>
      <c r="F688" s="10" t="str">
        <f>"AGR2"</f>
        <v>AGR2</v>
      </c>
      <c r="G688" s="10" t="str">
        <f t="shared" ref="G688:G696" si="24">"protein_coding"</f>
        <v>protein_coding</v>
      </c>
      <c r="J688" s="14"/>
    </row>
    <row r="689" spans="1:10" x14ac:dyDescent="0.2">
      <c r="A689" s="10" t="str">
        <f>"ENSG00000164651.16"</f>
        <v>ENSG00000164651.16</v>
      </c>
      <c r="B689" s="10">
        <v>-1.8323111617085099</v>
      </c>
      <c r="C689" s="10">
        <v>-0.85499658047888705</v>
      </c>
      <c r="D689" s="10">
        <v>6.6322117864519798</v>
      </c>
      <c r="E689" s="10">
        <v>3.2528424775231497E-2</v>
      </c>
      <c r="F689" s="10" t="str">
        <f>"SP8"</f>
        <v>SP8</v>
      </c>
      <c r="G689" s="10" t="str">
        <f t="shared" si="24"/>
        <v>protein_coding</v>
      </c>
      <c r="J689" s="14"/>
    </row>
    <row r="690" spans="1:10" x14ac:dyDescent="0.2">
      <c r="A690" s="10" t="str">
        <f>"ENSG00000164649.20"</f>
        <v>ENSG00000164649.20</v>
      </c>
      <c r="B690" s="10">
        <v>1.6068090275623901</v>
      </c>
      <c r="C690" s="10">
        <v>2.8199200905930701</v>
      </c>
      <c r="D690" s="10">
        <v>8.0026979191669305</v>
      </c>
      <c r="E690" s="10">
        <v>2.19148229775189E-2</v>
      </c>
      <c r="F690" s="10" t="str">
        <f>"CDCA7L"</f>
        <v>CDCA7L</v>
      </c>
      <c r="G690" s="10" t="str">
        <f t="shared" si="24"/>
        <v>protein_coding</v>
      </c>
      <c r="J690" s="14"/>
    </row>
    <row r="691" spans="1:10" x14ac:dyDescent="0.2">
      <c r="A691" s="10" t="str">
        <f>"ENSG00000136235.16"</f>
        <v>ENSG00000136235.16</v>
      </c>
      <c r="B691" s="10">
        <v>2.1636268480187599</v>
      </c>
      <c r="C691" s="10">
        <v>2.1715372573097298</v>
      </c>
      <c r="D691" s="10">
        <v>14.950819508335</v>
      </c>
      <c r="E691" s="10">
        <v>4.6529714385108098E-3</v>
      </c>
      <c r="F691" s="10" t="str">
        <f>"GPNMB"</f>
        <v>GPNMB</v>
      </c>
      <c r="G691" s="10" t="str">
        <f t="shared" si="24"/>
        <v>protein_coding</v>
      </c>
      <c r="J691" s="14"/>
    </row>
    <row r="692" spans="1:10" x14ac:dyDescent="0.2">
      <c r="A692" s="10" t="str">
        <f>"ENSG00000197576.13"</f>
        <v>ENSG00000197576.13</v>
      </c>
      <c r="B692" s="10">
        <v>-1.40582374813833</v>
      </c>
      <c r="C692" s="10">
        <v>1.26696783288506</v>
      </c>
      <c r="D692" s="10">
        <v>16.017911206270899</v>
      </c>
      <c r="E692" s="10">
        <v>3.83964084215119E-3</v>
      </c>
      <c r="F692" s="10" t="str">
        <f>"HOXA4"</f>
        <v>HOXA4</v>
      </c>
      <c r="G692" s="10" t="str">
        <f t="shared" si="24"/>
        <v>protein_coding</v>
      </c>
      <c r="J692" s="14"/>
    </row>
    <row r="693" spans="1:10" x14ac:dyDescent="0.2">
      <c r="A693" s="10" t="str">
        <f>"ENSG00000106006.6"</f>
        <v>ENSG00000106006.6</v>
      </c>
      <c r="B693" s="10">
        <v>1.06143651281486</v>
      </c>
      <c r="C693" s="10">
        <v>-0.84665527987925504</v>
      </c>
      <c r="D693" s="10">
        <v>5.7698037646552196</v>
      </c>
      <c r="E693" s="10">
        <v>4.21864216397905E-2</v>
      </c>
      <c r="F693" s="10" t="str">
        <f>"HOXA6"</f>
        <v>HOXA6</v>
      </c>
      <c r="G693" s="10" t="str">
        <f t="shared" si="24"/>
        <v>protein_coding</v>
      </c>
      <c r="J693" s="14"/>
    </row>
    <row r="694" spans="1:10" x14ac:dyDescent="0.2">
      <c r="A694" s="10" t="str">
        <f>"ENSG00000146592.17"</f>
        <v>ENSG00000146592.17</v>
      </c>
      <c r="B694" s="10">
        <v>-1.2152150472474701</v>
      </c>
      <c r="C694" s="10">
        <v>2.2307577631602098</v>
      </c>
      <c r="D694" s="10">
        <v>20.3488616961608</v>
      </c>
      <c r="E694" s="10">
        <v>1.83311598275071E-3</v>
      </c>
      <c r="F694" s="10" t="str">
        <f>"CREB5"</f>
        <v>CREB5</v>
      </c>
      <c r="G694" s="10" t="str">
        <f t="shared" si="24"/>
        <v>protein_coding</v>
      </c>
      <c r="J694" s="14"/>
    </row>
    <row r="695" spans="1:10" x14ac:dyDescent="0.2">
      <c r="A695" s="10" t="str">
        <f>"ENSG00000106066.15"</f>
        <v>ENSG00000106066.15</v>
      </c>
      <c r="B695" s="10">
        <v>1.14863599665656</v>
      </c>
      <c r="C695" s="10">
        <v>6.5818881589237996</v>
      </c>
      <c r="D695" s="10">
        <v>27.111033912725201</v>
      </c>
      <c r="E695" s="10">
        <v>7.8410636291402003E-4</v>
      </c>
      <c r="F695" s="10" t="str">
        <f>"CPVL"</f>
        <v>CPVL</v>
      </c>
      <c r="G695" s="10" t="str">
        <f t="shared" si="24"/>
        <v>protein_coding</v>
      </c>
      <c r="J695" s="14"/>
    </row>
    <row r="696" spans="1:10" x14ac:dyDescent="0.2">
      <c r="A696" s="10" t="str">
        <f>"ENSG00000285162.1"</f>
        <v>ENSG00000285162.1</v>
      </c>
      <c r="B696" s="10">
        <v>1.88546127148344</v>
      </c>
      <c r="C696" s="10">
        <v>-1.8630502658115899</v>
      </c>
      <c r="D696" s="10">
        <v>5.63656231154091</v>
      </c>
      <c r="E696" s="10">
        <v>4.4386240022847002E-2</v>
      </c>
      <c r="F696" s="10" t="str">
        <f>"AC004593.3"</f>
        <v>AC004593.3</v>
      </c>
      <c r="G696" s="10" t="str">
        <f t="shared" si="24"/>
        <v>protein_coding</v>
      </c>
      <c r="J696" s="14"/>
    </row>
    <row r="697" spans="1:10" x14ac:dyDescent="0.2">
      <c r="A697" s="10" t="str">
        <f>"ENSG00000227014.6"</f>
        <v>ENSG00000227014.6</v>
      </c>
      <c r="B697" s="10">
        <v>1.02505939033956</v>
      </c>
      <c r="C697" s="10">
        <v>-0.40024372479379899</v>
      </c>
      <c r="D697" s="10">
        <v>7.5380036921294797</v>
      </c>
      <c r="E697" s="10">
        <v>2.4552884529092499E-2</v>
      </c>
      <c r="F697" s="10" t="str">
        <f>"AC007285.1"</f>
        <v>AC007285.1</v>
      </c>
      <c r="G697" s="10" t="str">
        <f>"antisense"</f>
        <v>antisense</v>
      </c>
      <c r="J697" s="14"/>
    </row>
    <row r="698" spans="1:10" x14ac:dyDescent="0.2">
      <c r="A698" s="10" t="str">
        <f>"ENSG00000229358.3"</f>
        <v>ENSG00000229358.3</v>
      </c>
      <c r="B698" s="10">
        <v>1.1066602827124099</v>
      </c>
      <c r="C698" s="10">
        <v>1.43992899012736</v>
      </c>
      <c r="D698" s="10">
        <v>11.990996431504</v>
      </c>
      <c r="E698" s="10">
        <v>8.2544930973078995E-3</v>
      </c>
      <c r="F698" s="10" t="str">
        <f>"DPY19L1P1"</f>
        <v>DPY19L1P1</v>
      </c>
      <c r="G698" s="10" t="str">
        <f>"unprocessed_pseudogene"</f>
        <v>unprocessed_pseudogene</v>
      </c>
      <c r="J698" s="14"/>
    </row>
    <row r="699" spans="1:10" x14ac:dyDescent="0.2">
      <c r="A699" s="10" t="str">
        <f>"ENSG00000271117.1"</f>
        <v>ENSG00000271117.1</v>
      </c>
      <c r="B699" s="10">
        <v>-5.2068489600087098</v>
      </c>
      <c r="C699" s="10">
        <v>-2.0920891071541599</v>
      </c>
      <c r="D699" s="10">
        <v>12.6515795505168</v>
      </c>
      <c r="E699" s="10">
        <v>1.1646878503161E-2</v>
      </c>
      <c r="F699" s="10" t="str">
        <f>"AC078841.1"</f>
        <v>AC078841.1</v>
      </c>
      <c r="G699" s="10" t="str">
        <f>"processed_pseudogene"</f>
        <v>processed_pseudogene</v>
      </c>
      <c r="J699" s="14"/>
    </row>
    <row r="700" spans="1:10" x14ac:dyDescent="0.2">
      <c r="A700" s="10" t="str">
        <f>"ENSG00000106483.12"</f>
        <v>ENSG00000106483.12</v>
      </c>
      <c r="B700" s="10">
        <v>-1.1481513005698001</v>
      </c>
      <c r="C700" s="10">
        <v>3.8891616371866098</v>
      </c>
      <c r="D700" s="10">
        <v>20.3465066578785</v>
      </c>
      <c r="E700" s="10">
        <v>1.9134509710097599E-3</v>
      </c>
      <c r="F700" s="10" t="str">
        <f>"SFRP4"</f>
        <v>SFRP4</v>
      </c>
      <c r="G700" s="10" t="str">
        <f>"protein_coding"</f>
        <v>protein_coding</v>
      </c>
      <c r="J700" s="14"/>
    </row>
    <row r="701" spans="1:10" x14ac:dyDescent="0.2">
      <c r="A701" s="10" t="str">
        <f>"ENSG00000106536.19"</f>
        <v>ENSG00000106536.19</v>
      </c>
      <c r="B701" s="10">
        <v>-2.36876138311121</v>
      </c>
      <c r="C701" s="10">
        <v>-1.7140168951110799</v>
      </c>
      <c r="D701" s="10">
        <v>5.34824423448838</v>
      </c>
      <c r="E701" s="10">
        <v>4.9103200311228501E-2</v>
      </c>
      <c r="F701" s="10" t="str">
        <f>"POU6F2"</f>
        <v>POU6F2</v>
      </c>
      <c r="G701" s="10" t="str">
        <f>"protein_coding"</f>
        <v>protein_coding</v>
      </c>
      <c r="J701" s="14"/>
    </row>
    <row r="702" spans="1:10" x14ac:dyDescent="0.2">
      <c r="A702" s="10" t="str">
        <f>"ENSG00000002746.15"</f>
        <v>ENSG00000002746.15</v>
      </c>
      <c r="B702" s="10">
        <v>-1.62499149071726</v>
      </c>
      <c r="C702" s="10">
        <v>-0.97765095863554996</v>
      </c>
      <c r="D702" s="10">
        <v>8.2277387186405804</v>
      </c>
      <c r="E702" s="10">
        <v>2.0513836766213801E-2</v>
      </c>
      <c r="F702" s="10" t="str">
        <f>"HECW1"</f>
        <v>HECW1</v>
      </c>
      <c r="G702" s="10" t="str">
        <f>"protein_coding"</f>
        <v>protein_coding</v>
      </c>
      <c r="J702" s="14"/>
    </row>
    <row r="703" spans="1:10" x14ac:dyDescent="0.2">
      <c r="A703" s="10" t="str">
        <f>"ENSG00000235314.1"</f>
        <v>ENSG00000235314.1</v>
      </c>
      <c r="B703" s="10">
        <v>1.7544726795788499</v>
      </c>
      <c r="C703" s="10">
        <v>-1.4175080971332299</v>
      </c>
      <c r="D703" s="10">
        <v>6.2045503929994004</v>
      </c>
      <c r="E703" s="10">
        <v>3.7125019368050002E-2</v>
      </c>
      <c r="F703" s="10" t="str">
        <f>"LINC00957"</f>
        <v>LINC00957</v>
      </c>
      <c r="G703" s="10" t="str">
        <f>"lincRNA"</f>
        <v>lincRNA</v>
      </c>
      <c r="J703" s="14"/>
    </row>
    <row r="704" spans="1:10" x14ac:dyDescent="0.2">
      <c r="A704" s="10" t="str">
        <f>"ENSG00000164742.16"</f>
        <v>ENSG00000164742.16</v>
      </c>
      <c r="B704" s="10">
        <v>-1.4666926324351299</v>
      </c>
      <c r="C704" s="10">
        <v>4.12947082735867</v>
      </c>
      <c r="D704" s="10">
        <v>17.385678625346198</v>
      </c>
      <c r="E704" s="10">
        <v>3.0402012943336202E-3</v>
      </c>
      <c r="F704" s="10" t="str">
        <f>"ADCY1"</f>
        <v>ADCY1</v>
      </c>
      <c r="G704" s="10" t="str">
        <f>"protein_coding"</f>
        <v>protein_coding</v>
      </c>
      <c r="J704" s="14"/>
    </row>
    <row r="705" spans="1:10" x14ac:dyDescent="0.2">
      <c r="A705" s="10" t="str">
        <f>"ENSG00000146678.10"</f>
        <v>ENSG00000146678.10</v>
      </c>
      <c r="B705" s="10">
        <v>2.1257001148247099</v>
      </c>
      <c r="C705" s="10">
        <v>10.494418084286799</v>
      </c>
      <c r="D705" s="10">
        <v>10.9856938746289</v>
      </c>
      <c r="E705" s="10">
        <v>1.0444096274060601E-2</v>
      </c>
      <c r="F705" s="10" t="str">
        <f>"IGFBP1"</f>
        <v>IGFBP1</v>
      </c>
      <c r="G705" s="10" t="str">
        <f>"protein_coding"</f>
        <v>protein_coding</v>
      </c>
      <c r="J705" s="14"/>
    </row>
    <row r="706" spans="1:10" x14ac:dyDescent="0.2">
      <c r="A706" s="10" t="str">
        <f>"ENSG00000132437.18"</f>
        <v>ENSG00000132437.18</v>
      </c>
      <c r="B706" s="10">
        <v>1.84735405364574</v>
      </c>
      <c r="C706" s="10">
        <v>2.21261528464635</v>
      </c>
      <c r="D706" s="10">
        <v>8.1312965368112806</v>
      </c>
      <c r="E706" s="10">
        <v>2.1160035957959299E-2</v>
      </c>
      <c r="F706" s="10" t="str">
        <f>"DDC"</f>
        <v>DDC</v>
      </c>
      <c r="G706" s="10" t="str">
        <f>"protein_coding"</f>
        <v>protein_coding</v>
      </c>
      <c r="J706" s="14"/>
    </row>
    <row r="707" spans="1:10" x14ac:dyDescent="0.2">
      <c r="A707" s="10" t="str">
        <f>"ENSG00000224057.1"</f>
        <v>ENSG00000224057.1</v>
      </c>
      <c r="B707" s="10">
        <v>2.0919260426664299</v>
      </c>
      <c r="C707" s="10">
        <v>2.2771048901832298</v>
      </c>
      <c r="D707" s="10">
        <v>10.2557891418225</v>
      </c>
      <c r="E707" s="10">
        <v>1.23639753275658E-2</v>
      </c>
      <c r="F707" s="10" t="str">
        <f>"EGFR-AS1"</f>
        <v>EGFR-AS1</v>
      </c>
      <c r="G707" s="10" t="str">
        <f>"antisense"</f>
        <v>antisense</v>
      </c>
      <c r="J707" s="14"/>
    </row>
    <row r="708" spans="1:10" x14ac:dyDescent="0.2">
      <c r="A708" s="10" t="str">
        <f>"ENSG00000228653.2"</f>
        <v>ENSG00000228653.2</v>
      </c>
      <c r="B708" s="10">
        <v>2.0514194457530501</v>
      </c>
      <c r="C708" s="10">
        <v>-1.7771555402447901</v>
      </c>
      <c r="D708" s="10">
        <v>6.1765163555769904</v>
      </c>
      <c r="E708" s="10">
        <v>3.7454258429711999E-2</v>
      </c>
      <c r="F708" s="10" t="str">
        <f>"HNRNPCP7"</f>
        <v>HNRNPCP7</v>
      </c>
      <c r="G708" s="10" t="str">
        <f>"processed_pseudogene"</f>
        <v>processed_pseudogene</v>
      </c>
      <c r="J708" s="14"/>
    </row>
    <row r="709" spans="1:10" x14ac:dyDescent="0.2">
      <c r="A709" s="10" t="str">
        <f>"ENSG00000152926.14"</f>
        <v>ENSG00000152926.14</v>
      </c>
      <c r="B709" s="10">
        <v>1.05146658912629</v>
      </c>
      <c r="C709" s="10">
        <v>5.0363903029431301</v>
      </c>
      <c r="D709" s="10">
        <v>12.360790540301901</v>
      </c>
      <c r="E709" s="10">
        <v>7.7411513889641603E-3</v>
      </c>
      <c r="F709" s="10" t="str">
        <f>"ZNF117"</f>
        <v>ZNF117</v>
      </c>
      <c r="G709" s="10" t="str">
        <f>"protein_coding"</f>
        <v>protein_coding</v>
      </c>
      <c r="J709" s="14"/>
    </row>
    <row r="710" spans="1:10" x14ac:dyDescent="0.2">
      <c r="A710" s="10" t="str">
        <f>"ENSG00000213462.5"</f>
        <v>ENSG00000213462.5</v>
      </c>
      <c r="B710" s="10">
        <v>1.1297756693213099</v>
      </c>
      <c r="C710" s="10">
        <v>5.5999295364717403</v>
      </c>
      <c r="D710" s="10">
        <v>32.3599574417021</v>
      </c>
      <c r="E710" s="10">
        <v>4.1387987969572498E-4</v>
      </c>
      <c r="F710" s="10" t="str">
        <f>"ERV3-1"</f>
        <v>ERV3-1</v>
      </c>
      <c r="G710" s="10" t="str">
        <f>"protein_coding"</f>
        <v>protein_coding</v>
      </c>
      <c r="J710" s="14"/>
    </row>
    <row r="711" spans="1:10" x14ac:dyDescent="0.2">
      <c r="A711" s="10" t="str">
        <f>"ENSG00000226767.1"</f>
        <v>ENSG00000226767.1</v>
      </c>
      <c r="B711" s="10">
        <v>3.3685441379948702</v>
      </c>
      <c r="C711" s="10">
        <v>-0.70315327784958004</v>
      </c>
      <c r="D711" s="10">
        <v>38.630074704428502</v>
      </c>
      <c r="E711" s="10">
        <v>2.26112126917886E-4</v>
      </c>
      <c r="F711" s="10" t="str">
        <f>"AC114501.1"</f>
        <v>AC114501.1</v>
      </c>
      <c r="G711" s="10" t="str">
        <f>"processed_pseudogene"</f>
        <v>processed_pseudogene</v>
      </c>
      <c r="J711" s="14"/>
    </row>
    <row r="712" spans="1:10" x14ac:dyDescent="0.2">
      <c r="A712" s="10" t="str">
        <f>"ENSG00000275833.1"</f>
        <v>ENSG00000275833.1</v>
      </c>
      <c r="B712" s="10">
        <v>-1.1917337441679701</v>
      </c>
      <c r="C712" s="10">
        <v>-0.41299549862802698</v>
      </c>
      <c r="D712" s="10">
        <v>8.1683738697365396</v>
      </c>
      <c r="E712" s="10">
        <v>2.05911733683216E-2</v>
      </c>
      <c r="F712" s="10" t="str">
        <f>"AC073107.2"</f>
        <v>AC073107.2</v>
      </c>
      <c r="G712" s="10" t="str">
        <f>"unprocessed_pseudogene"</f>
        <v>unprocessed_pseudogene</v>
      </c>
      <c r="J712" s="14"/>
    </row>
    <row r="713" spans="1:10" x14ac:dyDescent="0.2">
      <c r="A713" s="10" t="str">
        <f>"ENSG00000188763.4"</f>
        <v>ENSG00000188763.4</v>
      </c>
      <c r="B713" s="10">
        <v>-1.3076574036111399</v>
      </c>
      <c r="C713" s="10">
        <v>1.2001679149346201</v>
      </c>
      <c r="D713" s="10">
        <v>8.2130952233085601</v>
      </c>
      <c r="E713" s="10">
        <v>2.06969311767543E-2</v>
      </c>
      <c r="F713" s="10" t="str">
        <f>"FZD9"</f>
        <v>FZD9</v>
      </c>
      <c r="G713" s="10" t="str">
        <f>"protein_coding"</f>
        <v>protein_coding</v>
      </c>
      <c r="J713" s="14"/>
    </row>
    <row r="714" spans="1:10" x14ac:dyDescent="0.2">
      <c r="A714" s="10" t="str">
        <f>"ENSG00000176428.6"</f>
        <v>ENSG00000176428.6</v>
      </c>
      <c r="B714" s="10">
        <v>-1.07402531549961</v>
      </c>
      <c r="C714" s="10">
        <v>3.2545379530663601</v>
      </c>
      <c r="D714" s="10">
        <v>9.3243741096030792</v>
      </c>
      <c r="E714" s="10">
        <v>1.550669629283E-2</v>
      </c>
      <c r="F714" s="10" t="str">
        <f>"VPS37D"</f>
        <v>VPS37D</v>
      </c>
      <c r="G714" s="10" t="str">
        <f>"protein_coding"</f>
        <v>protein_coding</v>
      </c>
      <c r="J714" s="14"/>
    </row>
    <row r="715" spans="1:10" x14ac:dyDescent="0.2">
      <c r="A715" s="10" t="str">
        <f>"ENSG00000158517.13"</f>
        <v>ENSG00000158517.13</v>
      </c>
      <c r="B715" s="10">
        <v>-1.5429295051877101</v>
      </c>
      <c r="C715" s="10">
        <v>-0.35476167623784699</v>
      </c>
      <c r="D715" s="10">
        <v>7.4373516860558997</v>
      </c>
      <c r="E715" s="10">
        <v>2.5665830934049599E-2</v>
      </c>
      <c r="F715" s="10" t="str">
        <f>"NCF1"</f>
        <v>NCF1</v>
      </c>
      <c r="G715" s="10" t="str">
        <f>"protein_coding"</f>
        <v>protein_coding</v>
      </c>
      <c r="J715" s="14"/>
    </row>
    <row r="716" spans="1:10" x14ac:dyDescent="0.2">
      <c r="A716" s="10" t="str">
        <f>"ENSG00000230882.1"</f>
        <v>ENSG00000230882.1</v>
      </c>
      <c r="B716" s="10">
        <v>1.60394291514021</v>
      </c>
      <c r="C716" s="10">
        <v>4.7149604429237097</v>
      </c>
      <c r="D716" s="10">
        <v>33.238446526307897</v>
      </c>
      <c r="E716" s="10">
        <v>4.0266467215320799E-4</v>
      </c>
      <c r="F716" s="10" t="str">
        <f>"AC005077.4"</f>
        <v>AC005077.4</v>
      </c>
      <c r="G716" s="10" t="str">
        <f>"processed_pseudogene"</f>
        <v>processed_pseudogene</v>
      </c>
      <c r="J716" s="14"/>
    </row>
    <row r="717" spans="1:10" x14ac:dyDescent="0.2">
      <c r="A717" s="10" t="str">
        <f>"ENSG00000251798.1"</f>
        <v>ENSG00000251798.1</v>
      </c>
      <c r="B717" s="10">
        <v>3.32478837995107</v>
      </c>
      <c r="C717" s="10">
        <v>-1.63593955760831</v>
      </c>
      <c r="D717" s="10">
        <v>15.9526187336552</v>
      </c>
      <c r="E717" s="10">
        <v>3.84010686896003E-3</v>
      </c>
      <c r="F717" s="10" t="str">
        <f>"RNU6-863P"</f>
        <v>RNU6-863P</v>
      </c>
      <c r="G717" s="10" t="str">
        <f>"snRNA"</f>
        <v>snRNA</v>
      </c>
      <c r="J717" s="14"/>
    </row>
    <row r="718" spans="1:10" x14ac:dyDescent="0.2">
      <c r="A718" s="10" t="str">
        <f>"ENSG00000227038.3"</f>
        <v>ENSG00000227038.3</v>
      </c>
      <c r="B718" s="10">
        <v>1.52266680974921</v>
      </c>
      <c r="C718" s="10">
        <v>3.1404458513145999</v>
      </c>
      <c r="D718" s="10">
        <v>31.896363521073098</v>
      </c>
      <c r="E718" s="10">
        <v>4.6171231587732498E-4</v>
      </c>
      <c r="F718" s="10" t="str">
        <f>"GTF2IP7"</f>
        <v>GTF2IP7</v>
      </c>
      <c r="G718" s="10" t="str">
        <f>"transcribed_unprocessed_pseudogene"</f>
        <v>transcribed_unprocessed_pseudogene</v>
      </c>
      <c r="J718" s="14"/>
    </row>
    <row r="719" spans="1:10" x14ac:dyDescent="0.2">
      <c r="A719" s="10" t="str">
        <f>"ENSG00000188372.15"</f>
        <v>ENSG00000188372.15</v>
      </c>
      <c r="B719" s="10">
        <v>-1.4591287180369099</v>
      </c>
      <c r="C719" s="10">
        <v>-1.3112050581397801</v>
      </c>
      <c r="D719" s="10">
        <v>6.0193919375578</v>
      </c>
      <c r="E719" s="10">
        <v>3.8895535990044403E-2</v>
      </c>
      <c r="F719" s="10" t="str">
        <f>"ZP3"</f>
        <v>ZP3</v>
      </c>
      <c r="G719" s="10" t="str">
        <f>"protein_coding"</f>
        <v>protein_coding</v>
      </c>
      <c r="J719" s="14"/>
    </row>
    <row r="720" spans="1:10" x14ac:dyDescent="0.2">
      <c r="A720" s="10" t="str">
        <f>"ENSG00000186704.9"</f>
        <v>ENSG00000186704.9</v>
      </c>
      <c r="B720" s="10">
        <v>-3.0472719626856102</v>
      </c>
      <c r="C720" s="10">
        <v>-2.1496077206170101</v>
      </c>
      <c r="D720" s="10">
        <v>6.16506404663303</v>
      </c>
      <c r="E720" s="10">
        <v>3.7589821664261697E-2</v>
      </c>
      <c r="F720" s="10" t="str">
        <f>"DTX2P1"</f>
        <v>DTX2P1</v>
      </c>
      <c r="G720" s="10" t="str">
        <f>"transcribed_unprocessed_pseudogene"</f>
        <v>transcribed_unprocessed_pseudogene</v>
      </c>
      <c r="J720" s="14"/>
    </row>
    <row r="721" spans="1:10" x14ac:dyDescent="0.2">
      <c r="A721" s="10" t="str">
        <f>"ENSG00000234456.7"</f>
        <v>ENSG00000234456.7</v>
      </c>
      <c r="B721" s="10">
        <v>1.30735634699782</v>
      </c>
      <c r="C721" s="10">
        <v>4.9225247444609099</v>
      </c>
      <c r="D721" s="10">
        <v>13.7364280908066</v>
      </c>
      <c r="E721" s="10">
        <v>5.8595613541328898E-3</v>
      </c>
      <c r="F721" s="10" t="str">
        <f>"MAGI2-AS3"</f>
        <v>MAGI2-AS3</v>
      </c>
      <c r="G721" s="10" t="str">
        <f>"processed_transcript"</f>
        <v>processed_transcript</v>
      </c>
      <c r="J721" s="14"/>
    </row>
    <row r="722" spans="1:10" x14ac:dyDescent="0.2">
      <c r="A722" s="10" t="str">
        <f>"ENSG00000135218.19"</f>
        <v>ENSG00000135218.19</v>
      </c>
      <c r="B722" s="10">
        <v>1.2118094241419</v>
      </c>
      <c r="C722" s="10">
        <v>3.42749655870958</v>
      </c>
      <c r="D722" s="10">
        <v>11.308664677813301</v>
      </c>
      <c r="E722" s="10">
        <v>9.7145240744046409E-3</v>
      </c>
      <c r="F722" s="10" t="str">
        <f>"CD36"</f>
        <v>CD36</v>
      </c>
      <c r="G722" s="10" t="str">
        <f t="shared" ref="G722:G731" si="25">"protein_coding"</f>
        <v>protein_coding</v>
      </c>
      <c r="J722" s="14"/>
    </row>
    <row r="723" spans="1:10" x14ac:dyDescent="0.2">
      <c r="A723" s="10" t="str">
        <f>"ENSG00000186472.20"</f>
        <v>ENSG00000186472.20</v>
      </c>
      <c r="B723" s="10">
        <v>-1.5197401798369901</v>
      </c>
      <c r="C723" s="10">
        <v>1.57875347381744</v>
      </c>
      <c r="D723" s="10">
        <v>28.875431663608101</v>
      </c>
      <c r="E723" s="10">
        <v>6.0458811038955403E-4</v>
      </c>
      <c r="F723" s="10" t="str">
        <f>"PCLO"</f>
        <v>PCLO</v>
      </c>
      <c r="G723" s="10" t="str">
        <f t="shared" si="25"/>
        <v>protein_coding</v>
      </c>
      <c r="J723" s="14"/>
    </row>
    <row r="724" spans="1:10" x14ac:dyDescent="0.2">
      <c r="A724" s="10" t="str">
        <f>"ENSG00000075213.11"</f>
        <v>ENSG00000075213.11</v>
      </c>
      <c r="B724" s="10">
        <v>2.53130993043021</v>
      </c>
      <c r="C724" s="10">
        <v>3.5975471074077401</v>
      </c>
      <c r="D724" s="10">
        <v>6.70403815962701</v>
      </c>
      <c r="E724" s="10">
        <v>3.1828538269996903E-2</v>
      </c>
      <c r="F724" s="10" t="str">
        <f>"SEMA3A"</f>
        <v>SEMA3A</v>
      </c>
      <c r="G724" s="10" t="str">
        <f t="shared" si="25"/>
        <v>protein_coding</v>
      </c>
      <c r="J724" s="14"/>
    </row>
    <row r="725" spans="1:10" x14ac:dyDescent="0.2">
      <c r="A725" s="10" t="str">
        <f>"ENSG00000005471.17"</f>
        <v>ENSG00000005471.17</v>
      </c>
      <c r="B725" s="10">
        <v>1.7273608905045901</v>
      </c>
      <c r="C725" s="10">
        <v>3.689219015301</v>
      </c>
      <c r="D725" s="10">
        <v>17.400153292013901</v>
      </c>
      <c r="E725" s="10">
        <v>3.03291651238637E-3</v>
      </c>
      <c r="F725" s="10" t="str">
        <f>"ABCB4"</f>
        <v>ABCB4</v>
      </c>
      <c r="G725" s="10" t="str">
        <f t="shared" si="25"/>
        <v>protein_coding</v>
      </c>
      <c r="J725" s="14"/>
    </row>
    <row r="726" spans="1:10" x14ac:dyDescent="0.2">
      <c r="A726" s="10" t="str">
        <f>"ENSG00000085563.14"</f>
        <v>ENSG00000085563.14</v>
      </c>
      <c r="B726" s="10">
        <v>1.42325558626388</v>
      </c>
      <c r="C726" s="10">
        <v>6.0840958193858103</v>
      </c>
      <c r="D726" s="10">
        <v>10.9950424639015</v>
      </c>
      <c r="E726" s="10">
        <v>1.04220308608996E-2</v>
      </c>
      <c r="F726" s="10" t="str">
        <f>"ABCB1"</f>
        <v>ABCB1</v>
      </c>
      <c r="G726" s="10" t="str">
        <f t="shared" si="25"/>
        <v>protein_coding</v>
      </c>
      <c r="J726" s="14"/>
    </row>
    <row r="727" spans="1:10" x14ac:dyDescent="0.2">
      <c r="A727" s="10" t="str">
        <f>"ENSG00000058091.17"</f>
        <v>ENSG00000058091.17</v>
      </c>
      <c r="B727" s="10">
        <v>-1.36509879566528</v>
      </c>
      <c r="C727" s="10">
        <v>-0.392802755511382</v>
      </c>
      <c r="D727" s="10">
        <v>6.1730711983727096</v>
      </c>
      <c r="E727" s="10">
        <v>3.7494974174111101E-2</v>
      </c>
      <c r="F727" s="10" t="str">
        <f>"CDK14"</f>
        <v>CDK14</v>
      </c>
      <c r="G727" s="10" t="str">
        <f t="shared" si="25"/>
        <v>protein_coding</v>
      </c>
      <c r="J727" s="14"/>
    </row>
    <row r="728" spans="1:10" x14ac:dyDescent="0.2">
      <c r="A728" s="10" t="str">
        <f>"ENSG00000157240.3"</f>
        <v>ENSG00000157240.3</v>
      </c>
      <c r="B728" s="10">
        <v>-1.36632941841202</v>
      </c>
      <c r="C728" s="10">
        <v>2.0481393267574899</v>
      </c>
      <c r="D728" s="10">
        <v>10.9074735986409</v>
      </c>
      <c r="E728" s="10">
        <v>1.0631035288551E-2</v>
      </c>
      <c r="F728" s="10" t="str">
        <f>"FZD1"</f>
        <v>FZD1</v>
      </c>
      <c r="G728" s="10" t="str">
        <f t="shared" si="25"/>
        <v>protein_coding</v>
      </c>
      <c r="J728" s="14"/>
    </row>
    <row r="729" spans="1:10" x14ac:dyDescent="0.2">
      <c r="A729" s="10" t="str">
        <f>"ENSG00000177409.12"</f>
        <v>ENSG00000177409.12</v>
      </c>
      <c r="B729" s="10">
        <v>1.51934687441614</v>
      </c>
      <c r="C729" s="10">
        <v>-1.28172970221166</v>
      </c>
      <c r="D729" s="10">
        <v>6.3353317446266901</v>
      </c>
      <c r="E729" s="10">
        <v>3.5338886617308697E-2</v>
      </c>
      <c r="F729" s="10" t="str">
        <f>"SAMD9L"</f>
        <v>SAMD9L</v>
      </c>
      <c r="G729" s="10" t="str">
        <f t="shared" si="25"/>
        <v>protein_coding</v>
      </c>
      <c r="J729" s="14"/>
    </row>
    <row r="730" spans="1:10" x14ac:dyDescent="0.2">
      <c r="A730" s="10" t="str">
        <f>"ENSG00000242265.5"</f>
        <v>ENSG00000242265.5</v>
      </c>
      <c r="B730" s="10">
        <v>1.28283620295031</v>
      </c>
      <c r="C730" s="10">
        <v>9.7345871229185992</v>
      </c>
      <c r="D730" s="10">
        <v>19.302425944805901</v>
      </c>
      <c r="E730" s="10">
        <v>2.23925213566715E-3</v>
      </c>
      <c r="F730" s="10" t="str">
        <f>"PEG10"</f>
        <v>PEG10</v>
      </c>
      <c r="G730" s="10" t="str">
        <f t="shared" si="25"/>
        <v>protein_coding</v>
      </c>
      <c r="J730" s="14"/>
    </row>
    <row r="731" spans="1:10" x14ac:dyDescent="0.2">
      <c r="A731" s="10" t="str">
        <f>"ENSG00000005981.13"</f>
        <v>ENSG00000005981.13</v>
      </c>
      <c r="B731" s="10">
        <v>2.29076511803137</v>
      </c>
      <c r="C731" s="10">
        <v>3.6442475297135601</v>
      </c>
      <c r="D731" s="10">
        <v>45.072970266414401</v>
      </c>
      <c r="E731" s="10">
        <v>1.4230985398741401E-4</v>
      </c>
      <c r="F731" s="10" t="str">
        <f>"ASB4"</f>
        <v>ASB4</v>
      </c>
      <c r="G731" s="10" t="str">
        <f t="shared" si="25"/>
        <v>protein_coding</v>
      </c>
      <c r="J731" s="14"/>
    </row>
    <row r="732" spans="1:10" x14ac:dyDescent="0.2">
      <c r="A732" s="10" t="str">
        <f>"ENSG00000279525.1"</f>
        <v>ENSG00000279525.1</v>
      </c>
      <c r="B732" s="10">
        <v>3.6341405345355202</v>
      </c>
      <c r="C732" s="10">
        <v>-1.4456151791899701</v>
      </c>
      <c r="D732" s="10">
        <v>16.747864077571101</v>
      </c>
      <c r="E732" s="10">
        <v>3.3841118882392798E-3</v>
      </c>
      <c r="F732" s="10" t="str">
        <f>"AC002451.2"</f>
        <v>AC002451.2</v>
      </c>
      <c r="G732" s="10" t="str">
        <f>"TEC"</f>
        <v>TEC</v>
      </c>
      <c r="J732" s="14"/>
    </row>
    <row r="733" spans="1:10" x14ac:dyDescent="0.2">
      <c r="A733" s="10" t="str">
        <f>"ENSG00000158560.14"</f>
        <v>ENSG00000158560.14</v>
      </c>
      <c r="B733" s="10">
        <v>1.7035435127686001</v>
      </c>
      <c r="C733" s="10">
        <v>-0.53671015931016797</v>
      </c>
      <c r="D733" s="10">
        <v>9.3321778218279707</v>
      </c>
      <c r="E733" s="10">
        <v>1.54764366957344E-2</v>
      </c>
      <c r="F733" s="10" t="str">
        <f>"DYNC1I1"</f>
        <v>DYNC1I1</v>
      </c>
      <c r="G733" s="10" t="str">
        <f>"protein_coding"</f>
        <v>protein_coding</v>
      </c>
      <c r="J733" s="14"/>
    </row>
    <row r="734" spans="1:10" x14ac:dyDescent="0.2">
      <c r="A734" s="10" t="str">
        <f>"ENSG00000284707.1"</f>
        <v>ENSG00000284707.1</v>
      </c>
      <c r="B734" s="10">
        <v>-1.69668556974033</v>
      </c>
      <c r="C734" s="10">
        <v>-0.93425414314317501</v>
      </c>
      <c r="D734" s="10">
        <v>5.7103859758751003</v>
      </c>
      <c r="E734" s="10">
        <v>4.3513801302025201E-2</v>
      </c>
      <c r="F734" s="10" t="str">
        <f>"AC079781.5"</f>
        <v>AC079781.5</v>
      </c>
      <c r="G734" s="10" t="str">
        <f>"processed_transcript"</f>
        <v>processed_transcript</v>
      </c>
      <c r="J734" s="14"/>
    </row>
    <row r="735" spans="1:10" x14ac:dyDescent="0.2">
      <c r="A735" s="10" t="str">
        <f>"ENSG00000185467.7"</f>
        <v>ENSG00000185467.7</v>
      </c>
      <c r="B735" s="10">
        <v>1.30996598160972</v>
      </c>
      <c r="C735" s="10">
        <v>-0.77313419176563303</v>
      </c>
      <c r="D735" s="10">
        <v>9.8024623198625598</v>
      </c>
      <c r="E735" s="10">
        <v>1.34958405474867E-2</v>
      </c>
      <c r="F735" s="10" t="str">
        <f>"KPNA7"</f>
        <v>KPNA7</v>
      </c>
      <c r="G735" s="10" t="str">
        <f t="shared" ref="G735:G742" si="26">"protein_coding"</f>
        <v>protein_coding</v>
      </c>
      <c r="J735" s="14"/>
    </row>
    <row r="736" spans="1:10" x14ac:dyDescent="0.2">
      <c r="A736" s="10" t="str">
        <f>"ENSG00000021461.16"</f>
        <v>ENSG00000021461.16</v>
      </c>
      <c r="B736" s="10">
        <v>-1.3250673260111401</v>
      </c>
      <c r="C736" s="10">
        <v>2.4882354366785702</v>
      </c>
      <c r="D736" s="10">
        <v>6.5160621797101399</v>
      </c>
      <c r="E736" s="10">
        <v>3.3701936471023299E-2</v>
      </c>
      <c r="F736" s="10" t="str">
        <f>"CYP3A43"</f>
        <v>CYP3A43</v>
      </c>
      <c r="G736" s="10" t="str">
        <f t="shared" si="26"/>
        <v>protein_coding</v>
      </c>
      <c r="J736" s="14"/>
    </row>
    <row r="737" spans="1:10" x14ac:dyDescent="0.2">
      <c r="A737" s="10" t="str">
        <f>"ENSG00000106351.13"</f>
        <v>ENSG00000106351.13</v>
      </c>
      <c r="B737" s="10">
        <v>1.70037308636246</v>
      </c>
      <c r="C737" s="10">
        <v>5.9608649950802404</v>
      </c>
      <c r="D737" s="10">
        <v>60.612010595414702</v>
      </c>
      <c r="E737" s="13">
        <v>4.9608002551760903E-5</v>
      </c>
      <c r="F737" s="10" t="str">
        <f>"AGFG2"</f>
        <v>AGFG2</v>
      </c>
      <c r="G737" s="10" t="str">
        <f t="shared" si="26"/>
        <v>protein_coding</v>
      </c>
      <c r="J737" s="14"/>
    </row>
    <row r="738" spans="1:10" x14ac:dyDescent="0.2">
      <c r="A738" s="10" t="str">
        <f>"ENSG00000087077.14"</f>
        <v>ENSG00000087077.14</v>
      </c>
      <c r="B738" s="10">
        <v>-1.1923104123461099</v>
      </c>
      <c r="C738" s="10">
        <v>0.36524161935308502</v>
      </c>
      <c r="D738" s="10">
        <v>5.5008976810528702</v>
      </c>
      <c r="E738" s="10">
        <v>4.6641917033317298E-2</v>
      </c>
      <c r="F738" s="10" t="str">
        <f>"TRIP6"</f>
        <v>TRIP6</v>
      </c>
      <c r="G738" s="10" t="str">
        <f t="shared" si="26"/>
        <v>protein_coding</v>
      </c>
      <c r="J738" s="14"/>
    </row>
    <row r="739" spans="1:10" x14ac:dyDescent="0.2">
      <c r="A739" s="10" t="str">
        <f>"ENSG00000087085.15"</f>
        <v>ENSG00000087085.15</v>
      </c>
      <c r="B739" s="10">
        <v>-1.2152489473432899</v>
      </c>
      <c r="C739" s="10">
        <v>5.8759129845957796</v>
      </c>
      <c r="D739" s="10">
        <v>7.96946684086529</v>
      </c>
      <c r="E739" s="10">
        <v>2.2115360742455101E-2</v>
      </c>
      <c r="F739" s="10" t="str">
        <f>"ACHE"</f>
        <v>ACHE</v>
      </c>
      <c r="G739" s="10" t="str">
        <f t="shared" si="26"/>
        <v>protein_coding</v>
      </c>
      <c r="J739" s="14"/>
    </row>
    <row r="740" spans="1:10" x14ac:dyDescent="0.2">
      <c r="A740" s="10" t="str">
        <f>"ENSG00000169894.18"</f>
        <v>ENSG00000169894.18</v>
      </c>
      <c r="B740" s="10">
        <v>-1.61440617198009</v>
      </c>
      <c r="C740" s="10">
        <v>-4.9696299438881403E-2</v>
      </c>
      <c r="D740" s="10">
        <v>7.3581452754729302</v>
      </c>
      <c r="E740" s="10">
        <v>2.62542253369142E-2</v>
      </c>
      <c r="F740" s="10" t="str">
        <f>"MUC3A"</f>
        <v>MUC3A</v>
      </c>
      <c r="G740" s="10" t="str">
        <f t="shared" si="26"/>
        <v>protein_coding</v>
      </c>
      <c r="J740" s="14"/>
    </row>
    <row r="741" spans="1:10" x14ac:dyDescent="0.2">
      <c r="A741" s="10" t="str">
        <f>"ENSG00000128564.7"</f>
        <v>ENSG00000128564.7</v>
      </c>
      <c r="B741" s="10">
        <v>-1.22554625282588</v>
      </c>
      <c r="C741" s="10">
        <v>0.44007185244827302</v>
      </c>
      <c r="D741" s="10">
        <v>13.086702331350001</v>
      </c>
      <c r="E741" s="10">
        <v>6.4811201312547596E-3</v>
      </c>
      <c r="F741" s="10" t="str">
        <f>"VGF"</f>
        <v>VGF</v>
      </c>
      <c r="G741" s="10" t="str">
        <f t="shared" si="26"/>
        <v>protein_coding</v>
      </c>
      <c r="J741" s="14"/>
    </row>
    <row r="742" spans="1:10" x14ac:dyDescent="0.2">
      <c r="A742" s="10" t="str">
        <f>"ENSG00000160963.14"</f>
        <v>ENSG00000160963.14</v>
      </c>
      <c r="B742" s="10">
        <v>-2.4417740790337099</v>
      </c>
      <c r="C742" s="10">
        <v>-0.436715128903508</v>
      </c>
      <c r="D742" s="10">
        <v>11.122963353085099</v>
      </c>
      <c r="E742" s="10">
        <v>1.01258938844337E-2</v>
      </c>
      <c r="F742" s="10" t="str">
        <f>"COL26A1"</f>
        <v>COL26A1</v>
      </c>
      <c r="G742" s="10" t="str">
        <f t="shared" si="26"/>
        <v>protein_coding</v>
      </c>
      <c r="J742" s="14"/>
    </row>
    <row r="743" spans="1:10" x14ac:dyDescent="0.2">
      <c r="A743" s="10" t="str">
        <f>"ENSG00000244490.1"</f>
        <v>ENSG00000244490.1</v>
      </c>
      <c r="B743" s="10">
        <v>1.4931814360656901</v>
      </c>
      <c r="C743" s="10">
        <v>-1.09951194295612</v>
      </c>
      <c r="D743" s="10">
        <v>6.0029686848553601</v>
      </c>
      <c r="E743" s="10">
        <v>3.9577015687955401E-2</v>
      </c>
      <c r="F743" s="10" t="str">
        <f>"RWDD4P1"</f>
        <v>RWDD4P1</v>
      </c>
      <c r="G743" s="10" t="str">
        <f>"processed_pseudogene"</f>
        <v>processed_pseudogene</v>
      </c>
      <c r="J743" s="14"/>
    </row>
    <row r="744" spans="1:10" x14ac:dyDescent="0.2">
      <c r="A744" s="10" t="str">
        <f>"ENSG00000253276.3"</f>
        <v>ENSG00000253276.3</v>
      </c>
      <c r="B744" s="10">
        <v>-1.8899360209162399</v>
      </c>
      <c r="C744" s="10">
        <v>1.0252411354792601</v>
      </c>
      <c r="D744" s="10">
        <v>15.083953288109401</v>
      </c>
      <c r="E744" s="10">
        <v>4.5404374344870302E-3</v>
      </c>
      <c r="F744" s="10" t="str">
        <f>"CCDC71L"</f>
        <v>CCDC71L</v>
      </c>
      <c r="G744" s="10" t="str">
        <f>"protein_coding"</f>
        <v>protein_coding</v>
      </c>
      <c r="J744" s="14"/>
    </row>
    <row r="745" spans="1:10" x14ac:dyDescent="0.2">
      <c r="A745" s="10" t="str">
        <f>"ENSG00000272072.1"</f>
        <v>ENSG00000272072.1</v>
      </c>
      <c r="B745" s="10">
        <v>1.5302425111984099</v>
      </c>
      <c r="C745" s="10">
        <v>-0.62808290548429702</v>
      </c>
      <c r="D745" s="10">
        <v>6.5687379868973004</v>
      </c>
      <c r="E745" s="10">
        <v>3.3163202028327302E-2</v>
      </c>
      <c r="F745" s="10" t="str">
        <f>"AC004492.1"</f>
        <v>AC004492.1</v>
      </c>
      <c r="G745" s="10" t="str">
        <f>"antisense"</f>
        <v>antisense</v>
      </c>
      <c r="J745" s="14"/>
    </row>
    <row r="746" spans="1:10" x14ac:dyDescent="0.2">
      <c r="A746" s="10" t="str">
        <f>"ENSG00000091128.13"</f>
        <v>ENSG00000091128.13</v>
      </c>
      <c r="B746" s="10">
        <v>1.5614549447752899</v>
      </c>
      <c r="C746" s="10">
        <v>0.40124212149228999</v>
      </c>
      <c r="D746" s="10">
        <v>14.823330407175501</v>
      </c>
      <c r="E746" s="10">
        <v>4.7640242138218903E-3</v>
      </c>
      <c r="F746" s="10" t="str">
        <f>"LAMB4"</f>
        <v>LAMB4</v>
      </c>
      <c r="G746" s="10" t="str">
        <f t="shared" ref="G746:G753" si="27">"protein_coding"</f>
        <v>protein_coding</v>
      </c>
      <c r="J746" s="14"/>
    </row>
    <row r="747" spans="1:10" x14ac:dyDescent="0.2">
      <c r="A747" s="10" t="str">
        <f>"ENSG00000135272.10"</f>
        <v>ENSG00000135272.10</v>
      </c>
      <c r="B747" s="10">
        <v>-2.4748273587243199</v>
      </c>
      <c r="C747" s="10">
        <v>-0.66486240003975705</v>
      </c>
      <c r="D747" s="10">
        <v>20.319270308898801</v>
      </c>
      <c r="E747" s="10">
        <v>1.91156864210468E-3</v>
      </c>
      <c r="F747" s="10" t="str">
        <f>"MDFIC"</f>
        <v>MDFIC</v>
      </c>
      <c r="G747" s="10" t="str">
        <f t="shared" si="27"/>
        <v>protein_coding</v>
      </c>
      <c r="J747" s="14"/>
    </row>
    <row r="748" spans="1:10" x14ac:dyDescent="0.2">
      <c r="A748" s="10" t="str">
        <f>"ENSG00000105971.15"</f>
        <v>ENSG00000105971.15</v>
      </c>
      <c r="B748" s="10">
        <v>-1.31802047720965</v>
      </c>
      <c r="C748" s="10">
        <v>1.9984425014820599</v>
      </c>
      <c r="D748" s="10">
        <v>16.6003702060984</v>
      </c>
      <c r="E748" s="10">
        <v>3.4704658769447701E-3</v>
      </c>
      <c r="F748" s="10" t="str">
        <f>"CAV2"</f>
        <v>CAV2</v>
      </c>
      <c r="G748" s="10" t="str">
        <f t="shared" si="27"/>
        <v>protein_coding</v>
      </c>
      <c r="J748" s="14"/>
    </row>
    <row r="749" spans="1:10" x14ac:dyDescent="0.2">
      <c r="A749" s="10" t="str">
        <f>"ENSG00000105976.15"</f>
        <v>ENSG00000105976.15</v>
      </c>
      <c r="B749" s="10">
        <v>1.2753547198973101</v>
      </c>
      <c r="C749" s="10">
        <v>6.5263580511669597</v>
      </c>
      <c r="D749" s="10">
        <v>7.92710261476706</v>
      </c>
      <c r="E749" s="10">
        <v>2.2374379649260801E-2</v>
      </c>
      <c r="F749" s="10" t="str">
        <f>"MET"</f>
        <v>MET</v>
      </c>
      <c r="G749" s="10" t="str">
        <f t="shared" si="27"/>
        <v>protein_coding</v>
      </c>
      <c r="J749" s="14"/>
    </row>
    <row r="750" spans="1:10" x14ac:dyDescent="0.2">
      <c r="A750" s="10" t="str">
        <f>"ENSG00000184408.10"</f>
        <v>ENSG00000184408.10</v>
      </c>
      <c r="B750" s="10">
        <v>-2.3846921857333299</v>
      </c>
      <c r="C750" s="10">
        <v>-1.7125085157265301</v>
      </c>
      <c r="D750" s="10">
        <v>7.3054856195436102</v>
      </c>
      <c r="E750" s="10">
        <v>2.6654856505853499E-2</v>
      </c>
      <c r="F750" s="10" t="str">
        <f>"KCND2"</f>
        <v>KCND2</v>
      </c>
      <c r="G750" s="10" t="str">
        <f t="shared" si="27"/>
        <v>protein_coding</v>
      </c>
      <c r="J750" s="14"/>
    </row>
    <row r="751" spans="1:10" x14ac:dyDescent="0.2">
      <c r="A751" s="10" t="str">
        <f>"ENSG00000196937.11"</f>
        <v>ENSG00000196937.11</v>
      </c>
      <c r="B751" s="10">
        <v>1.4012843532868899</v>
      </c>
      <c r="C751" s="10">
        <v>4.5901853745390397</v>
      </c>
      <c r="D751" s="10">
        <v>7.5993985919260396</v>
      </c>
      <c r="E751" s="10">
        <v>2.45129825987296E-2</v>
      </c>
      <c r="F751" s="10" t="str">
        <f>"FAM3C"</f>
        <v>FAM3C</v>
      </c>
      <c r="G751" s="10" t="str">
        <f t="shared" si="27"/>
        <v>protein_coding</v>
      </c>
      <c r="J751" s="14"/>
    </row>
    <row r="752" spans="1:10" x14ac:dyDescent="0.2">
      <c r="A752" s="10" t="str">
        <f>"ENSG00000179603.17"</f>
        <v>ENSG00000179603.17</v>
      </c>
      <c r="B752" s="10">
        <v>-1.34540757940394</v>
      </c>
      <c r="C752" s="10">
        <v>-0.766747679726271</v>
      </c>
      <c r="D752" s="10">
        <v>5.3119178952391604</v>
      </c>
      <c r="E752" s="10">
        <v>4.9713097408219102E-2</v>
      </c>
      <c r="F752" s="10" t="str">
        <f>"GRM8"</f>
        <v>GRM8</v>
      </c>
      <c r="G752" s="10" t="str">
        <f t="shared" si="27"/>
        <v>protein_coding</v>
      </c>
      <c r="J752" s="14"/>
    </row>
    <row r="753" spans="1:10" x14ac:dyDescent="0.2">
      <c r="A753" s="10" t="str">
        <f>"ENSG00000224940.8"</f>
        <v>ENSG00000224940.8</v>
      </c>
      <c r="B753" s="10">
        <v>-3.0930264055960399</v>
      </c>
      <c r="C753" s="10">
        <v>-1.6363922339700301</v>
      </c>
      <c r="D753" s="10">
        <v>15.104415067787</v>
      </c>
      <c r="E753" s="10">
        <v>4.3788649117755896E-3</v>
      </c>
      <c r="F753" s="10" t="str">
        <f>"PRRT4"</f>
        <v>PRRT4</v>
      </c>
      <c r="G753" s="10" t="str">
        <f t="shared" si="27"/>
        <v>protein_coding</v>
      </c>
      <c r="J753" s="14"/>
    </row>
    <row r="754" spans="1:10" x14ac:dyDescent="0.2">
      <c r="A754" s="10" t="str">
        <f>"ENSG00000280828.1"</f>
        <v>ENSG00000280828.1</v>
      </c>
      <c r="B754" s="10">
        <v>-1.1802848555055101</v>
      </c>
      <c r="C754" s="10">
        <v>0.406139806022983</v>
      </c>
      <c r="D754" s="10">
        <v>7.3705709673598996</v>
      </c>
      <c r="E754" s="10">
        <v>2.6160801982954E-2</v>
      </c>
      <c r="F754" s="10" t="str">
        <f>"AC090114.3"</f>
        <v>AC090114.3</v>
      </c>
      <c r="G754" s="10" t="str">
        <f>"unprocessed_pseudogene"</f>
        <v>unprocessed_pseudogene</v>
      </c>
      <c r="J754" s="14"/>
    </row>
    <row r="755" spans="1:10" x14ac:dyDescent="0.2">
      <c r="A755" s="10" t="str">
        <f>"ENSG00000272899.4"</f>
        <v>ENSG00000272899.4</v>
      </c>
      <c r="B755" s="10">
        <v>-1.93402205371763</v>
      </c>
      <c r="C755" s="10">
        <v>3.04832925218032</v>
      </c>
      <c r="D755" s="10">
        <v>21.242988386752799</v>
      </c>
      <c r="E755" s="10">
        <v>1.67976682738997E-3</v>
      </c>
      <c r="F755" s="10" t="str">
        <f>"ATP6V1FNB"</f>
        <v>ATP6V1FNB</v>
      </c>
      <c r="G755" s="10" t="str">
        <f>"protein_coding"</f>
        <v>protein_coding</v>
      </c>
      <c r="J755" s="14"/>
    </row>
    <row r="756" spans="1:10" x14ac:dyDescent="0.2">
      <c r="A756" s="10" t="str">
        <f>"ENSG00000242078.1"</f>
        <v>ENSG00000242078.1</v>
      </c>
      <c r="B756" s="10">
        <v>-3.3653327134161901</v>
      </c>
      <c r="C756" s="10">
        <v>-1.9905061006248499</v>
      </c>
      <c r="D756" s="10">
        <v>10.735915374822399</v>
      </c>
      <c r="E756" s="10">
        <v>1.1049072583490799E-2</v>
      </c>
      <c r="F756" s="10" t="str">
        <f>"AC084864.1"</f>
        <v>AC084864.1</v>
      </c>
      <c r="G756" s="10" t="str">
        <f>"lincRNA"</f>
        <v>lincRNA</v>
      </c>
      <c r="J756" s="14"/>
    </row>
    <row r="757" spans="1:10" x14ac:dyDescent="0.2">
      <c r="A757" s="10" t="str">
        <f>"ENSG00000158516.12"</f>
        <v>ENSG00000158516.12</v>
      </c>
      <c r="B757" s="10">
        <v>-2.6277697576042298</v>
      </c>
      <c r="C757" s="10">
        <v>-1.8910805524113099</v>
      </c>
      <c r="D757" s="10">
        <v>9.3362907595548208</v>
      </c>
      <c r="E757" s="10">
        <v>1.5235895993085301E-2</v>
      </c>
      <c r="F757" s="10" t="str">
        <f>"CPA2"</f>
        <v>CPA2</v>
      </c>
      <c r="G757" s="10" t="str">
        <f>"protein_coding"</f>
        <v>protein_coding</v>
      </c>
      <c r="J757" s="14"/>
    </row>
    <row r="758" spans="1:10" x14ac:dyDescent="0.2">
      <c r="A758" s="10" t="str">
        <f>"ENSG00000122787.15"</f>
        <v>ENSG00000122787.15</v>
      </c>
      <c r="B758" s="10">
        <v>1.6000099890519801</v>
      </c>
      <c r="C758" s="10">
        <v>3.2657066257439</v>
      </c>
      <c r="D758" s="10">
        <v>7.8998897084962003</v>
      </c>
      <c r="E758" s="10">
        <v>2.2542780744878001E-2</v>
      </c>
      <c r="F758" s="10" t="str">
        <f>"AKR1D1"</f>
        <v>AKR1D1</v>
      </c>
      <c r="G758" s="10" t="str">
        <f>"protein_coding"</f>
        <v>protein_coding</v>
      </c>
      <c r="J758" s="14"/>
    </row>
    <row r="759" spans="1:10" x14ac:dyDescent="0.2">
      <c r="A759" s="10" t="str">
        <f>"ENSG00000254270.1"</f>
        <v>ENSG00000254270.1</v>
      </c>
      <c r="B759" s="10">
        <v>-3.2474869920137399</v>
      </c>
      <c r="C759" s="10">
        <v>-2.0489656025758198</v>
      </c>
      <c r="D759" s="10">
        <v>9.2361553171275403</v>
      </c>
      <c r="E759" s="10">
        <v>1.58540014582703E-2</v>
      </c>
      <c r="F759" s="10" t="str">
        <f>"ERHP1"</f>
        <v>ERHP1</v>
      </c>
      <c r="G759" s="10" t="str">
        <f>"processed_pseudogene"</f>
        <v>processed_pseudogene</v>
      </c>
      <c r="J759" s="14"/>
    </row>
    <row r="760" spans="1:10" x14ac:dyDescent="0.2">
      <c r="A760" s="10" t="str">
        <f>"ENSG00000106123.12"</f>
        <v>ENSG00000106123.12</v>
      </c>
      <c r="B760" s="10">
        <v>-2.7078158142133799</v>
      </c>
      <c r="C760" s="10">
        <v>0.18962561203228601</v>
      </c>
      <c r="D760" s="10">
        <v>26.696444350226901</v>
      </c>
      <c r="E760" s="10">
        <v>8.2376245356444199E-4</v>
      </c>
      <c r="F760" s="10" t="str">
        <f>"EPHB6"</f>
        <v>EPHB6</v>
      </c>
      <c r="G760" s="10" t="str">
        <f>"protein_coding"</f>
        <v>protein_coding</v>
      </c>
      <c r="J760" s="14"/>
    </row>
    <row r="761" spans="1:10" x14ac:dyDescent="0.2">
      <c r="A761" s="10" t="str">
        <f>"ENSG00000178826.11"</f>
        <v>ENSG00000178826.11</v>
      </c>
      <c r="B761" s="10">
        <v>1.50759731602554</v>
      </c>
      <c r="C761" s="10">
        <v>2.0329423615239599</v>
      </c>
      <c r="D761" s="10">
        <v>12.6650221411843</v>
      </c>
      <c r="E761" s="10">
        <v>7.2663497857744404E-3</v>
      </c>
      <c r="F761" s="10" t="str">
        <f>"TMEM139"</f>
        <v>TMEM139</v>
      </c>
      <c r="G761" s="10" t="str">
        <f>"protein_coding"</f>
        <v>protein_coding</v>
      </c>
      <c r="J761" s="14"/>
    </row>
    <row r="762" spans="1:10" x14ac:dyDescent="0.2">
      <c r="A762" s="10" t="str">
        <f>"ENSG00000213215.5"</f>
        <v>ENSG00000213215.5</v>
      </c>
      <c r="B762" s="10">
        <v>1.8998848144673199</v>
      </c>
      <c r="C762" s="10">
        <v>-0.19660950623916101</v>
      </c>
      <c r="D762" s="10">
        <v>9.8081020957319698</v>
      </c>
      <c r="E762" s="10">
        <v>1.3763334677439299E-2</v>
      </c>
      <c r="F762" s="10" t="str">
        <f>"OR2F1"</f>
        <v>OR2F1</v>
      </c>
      <c r="G762" s="10" t="str">
        <f>"protein_coding"</f>
        <v>protein_coding</v>
      </c>
      <c r="J762" s="14"/>
    </row>
    <row r="763" spans="1:10" x14ac:dyDescent="0.2">
      <c r="A763" s="10" t="str">
        <f>"ENSG00000199370.2"</f>
        <v>ENSG00000199370.2</v>
      </c>
      <c r="B763" s="10">
        <v>2.4412792077545298</v>
      </c>
      <c r="C763" s="10">
        <v>-1.3594472692911499</v>
      </c>
      <c r="D763" s="10">
        <v>8.7614559727822208</v>
      </c>
      <c r="E763" s="10">
        <v>1.79004989391757E-2</v>
      </c>
      <c r="F763" s="10" t="str">
        <f>"RF00012"</f>
        <v>RF00012</v>
      </c>
      <c r="G763" s="10" t="str">
        <f>"snoRNA"</f>
        <v>snoRNA</v>
      </c>
      <c r="J763" s="14"/>
    </row>
    <row r="764" spans="1:10" x14ac:dyDescent="0.2">
      <c r="A764" s="10" t="str">
        <f>"ENSG00000204947.9"</f>
        <v>ENSG00000204947.9</v>
      </c>
      <c r="B764" s="10">
        <v>-1.2483337234593199</v>
      </c>
      <c r="C764" s="10">
        <v>2.9048795065577</v>
      </c>
      <c r="D764" s="10">
        <v>17.223415661724399</v>
      </c>
      <c r="E764" s="10">
        <v>3.1233813788211899E-3</v>
      </c>
      <c r="F764" s="10" t="str">
        <f>"ZNF425"</f>
        <v>ZNF425</v>
      </c>
      <c r="G764" s="10" t="str">
        <f>"protein_coding"</f>
        <v>protein_coding</v>
      </c>
      <c r="J764" s="14"/>
    </row>
    <row r="765" spans="1:10" x14ac:dyDescent="0.2">
      <c r="A765" s="10" t="str">
        <f>"ENSG00000181444.13"</f>
        <v>ENSG00000181444.13</v>
      </c>
      <c r="B765" s="10">
        <v>-1.7696073908918599</v>
      </c>
      <c r="C765" s="10">
        <v>0.35352016587306401</v>
      </c>
      <c r="D765" s="10">
        <v>7.5995804476081599</v>
      </c>
      <c r="E765" s="10">
        <v>2.4511725936771499E-2</v>
      </c>
      <c r="F765" s="10" t="str">
        <f>"ZNF467"</f>
        <v>ZNF467</v>
      </c>
      <c r="G765" s="10" t="str">
        <f>"protein_coding"</f>
        <v>protein_coding</v>
      </c>
      <c r="J765" s="14"/>
    </row>
    <row r="766" spans="1:10" x14ac:dyDescent="0.2">
      <c r="A766" s="10" t="str">
        <f>"ENSG00000261305.2"</f>
        <v>ENSG00000261305.2</v>
      </c>
      <c r="B766" s="10">
        <v>-1.4668373431203099</v>
      </c>
      <c r="C766" s="10">
        <v>-1.4431148772256499</v>
      </c>
      <c r="D766" s="10">
        <v>5.4580303247614896</v>
      </c>
      <c r="E766" s="10">
        <v>4.6809302233395599E-2</v>
      </c>
      <c r="F766" s="10" t="str">
        <f>"AC005586.2"</f>
        <v>AC005586.2</v>
      </c>
      <c r="G766" s="10" t="str">
        <f>"sense_overlapping"</f>
        <v>sense_overlapping</v>
      </c>
      <c r="J766" s="14"/>
    </row>
    <row r="767" spans="1:10" x14ac:dyDescent="0.2">
      <c r="A767" s="10" t="str">
        <f>"ENSG00000244151.1"</f>
        <v>ENSG00000244151.1</v>
      </c>
      <c r="B767" s="10">
        <v>-1.44608462039157</v>
      </c>
      <c r="C767" s="10">
        <v>-1.3118568620988</v>
      </c>
      <c r="D767" s="10">
        <v>6.8624124696136501</v>
      </c>
      <c r="E767" s="10">
        <v>2.9925805368079001E-2</v>
      </c>
      <c r="F767" s="10" t="str">
        <f>"AC010973.2"</f>
        <v>AC010973.2</v>
      </c>
      <c r="G767" s="10" t="str">
        <f>"antisense"</f>
        <v>antisense</v>
      </c>
      <c r="J767" s="14"/>
    </row>
    <row r="768" spans="1:10" x14ac:dyDescent="0.2">
      <c r="A768" s="10" t="str">
        <f>"ENSG00000164900.4"</f>
        <v>ENSG00000164900.4</v>
      </c>
      <c r="B768" s="10">
        <v>-2.4128442811808402</v>
      </c>
      <c r="C768" s="10">
        <v>-1.23068482008811</v>
      </c>
      <c r="D768" s="10">
        <v>6.2296764394714996</v>
      </c>
      <c r="E768" s="10">
        <v>3.6833043417970002E-2</v>
      </c>
      <c r="F768" s="10" t="str">
        <f>"GBX1"</f>
        <v>GBX1</v>
      </c>
      <c r="G768" s="10" t="str">
        <f>"protein_coding"</f>
        <v>protein_coding</v>
      </c>
      <c r="J768" s="14"/>
    </row>
    <row r="769" spans="1:10" x14ac:dyDescent="0.2">
      <c r="A769" s="10" t="str">
        <f>"ENSG00000204876.4"</f>
        <v>ENSG00000204876.4</v>
      </c>
      <c r="B769" s="10">
        <v>1.6567772835707799</v>
      </c>
      <c r="C769" s="10">
        <v>3.97736924645685</v>
      </c>
      <c r="D769" s="10">
        <v>24.7536509441642</v>
      </c>
      <c r="E769" s="10">
        <v>1.04680540408839E-3</v>
      </c>
      <c r="F769" s="10" t="str">
        <f>"AC021218.1"</f>
        <v>AC021218.1</v>
      </c>
      <c r="G769" s="10" t="str">
        <f>"lincRNA"</f>
        <v>lincRNA</v>
      </c>
      <c r="J769" s="14"/>
    </row>
    <row r="770" spans="1:10" x14ac:dyDescent="0.2">
      <c r="A770" s="10" t="str">
        <f>"ENSG00000130675.15"</f>
        <v>ENSG00000130675.15</v>
      </c>
      <c r="B770" s="10">
        <v>-1.1516034907306001</v>
      </c>
      <c r="C770" s="10">
        <v>2.5213572240687698</v>
      </c>
      <c r="D770" s="10">
        <v>22.363605132154699</v>
      </c>
      <c r="E770" s="10">
        <v>1.3709091904321399E-3</v>
      </c>
      <c r="F770" s="10" t="str">
        <f>"MNX1"</f>
        <v>MNX1</v>
      </c>
      <c r="G770" s="10" t="str">
        <f>"protein_coding"</f>
        <v>protein_coding</v>
      </c>
      <c r="J770" s="14"/>
    </row>
    <row r="771" spans="1:10" x14ac:dyDescent="0.2">
      <c r="A771" s="10" t="str">
        <f>"ENSG00000155093.19"</f>
        <v>ENSG00000155093.19</v>
      </c>
      <c r="B771" s="10">
        <v>2.8477422947590898</v>
      </c>
      <c r="C771" s="10">
        <v>3.2655510549098898</v>
      </c>
      <c r="D771" s="10">
        <v>63.121085798291197</v>
      </c>
      <c r="E771" s="13">
        <v>4.2822444438521302E-5</v>
      </c>
      <c r="F771" s="10" t="str">
        <f>"PTPRN2"</f>
        <v>PTPRN2</v>
      </c>
      <c r="G771" s="10" t="str">
        <f>"protein_coding"</f>
        <v>protein_coding</v>
      </c>
      <c r="J771" s="14"/>
    </row>
    <row r="772" spans="1:10" x14ac:dyDescent="0.2">
      <c r="A772" s="10" t="str">
        <f>"ENSG00000279852.1"</f>
        <v>ENSG00000279852.1</v>
      </c>
      <c r="B772" s="10">
        <v>-1.0873726871721701</v>
      </c>
      <c r="C772" s="10">
        <v>3.1604774073844003E-2</v>
      </c>
      <c r="D772" s="10">
        <v>7.3529726295220001</v>
      </c>
      <c r="E772" s="10">
        <v>2.6032557710399501E-2</v>
      </c>
      <c r="F772" s="10" t="str">
        <f>"AC083964.2"</f>
        <v>AC083964.2</v>
      </c>
      <c r="G772" s="10" t="str">
        <f>"TEC"</f>
        <v>TEC</v>
      </c>
      <c r="J772" s="14"/>
    </row>
    <row r="773" spans="1:10" x14ac:dyDescent="0.2">
      <c r="A773" s="10" t="str">
        <f>"ENSG00000282021.1"</f>
        <v>ENSG00000282021.1</v>
      </c>
      <c r="B773" s="10">
        <v>2.6327140907739399</v>
      </c>
      <c r="C773" s="10">
        <v>0.35203106353135799</v>
      </c>
      <c r="D773" s="10">
        <v>21.677401855300602</v>
      </c>
      <c r="E773" s="10">
        <v>1.5793712023971899E-3</v>
      </c>
      <c r="F773" s="10" t="str">
        <f>"AC100810.3"</f>
        <v>AC100810.3</v>
      </c>
      <c r="G773" s="10" t="str">
        <f>"lincRNA"</f>
        <v>lincRNA</v>
      </c>
      <c r="J773" s="14"/>
    </row>
    <row r="774" spans="1:10" x14ac:dyDescent="0.2">
      <c r="A774" s="10" t="str">
        <f>"ENSG00000164821.4"</f>
        <v>ENSG00000164821.4</v>
      </c>
      <c r="B774" s="10">
        <v>-3.2303095583167001</v>
      </c>
      <c r="C774" s="10">
        <v>-1.5585672704179301</v>
      </c>
      <c r="D774" s="10">
        <v>8.4846011908012695</v>
      </c>
      <c r="E774" s="10">
        <v>1.9248497239721499E-2</v>
      </c>
      <c r="F774" s="10" t="str">
        <f>"DEFA4"</f>
        <v>DEFA4</v>
      </c>
      <c r="G774" s="10" t="str">
        <f>"protein_coding"</f>
        <v>protein_coding</v>
      </c>
      <c r="J774" s="14"/>
    </row>
    <row r="775" spans="1:10" x14ac:dyDescent="0.2">
      <c r="A775" s="10" t="str">
        <f>"ENSG00000223629.1"</f>
        <v>ENSG00000223629.1</v>
      </c>
      <c r="B775" s="10">
        <v>-3.3475642184181198</v>
      </c>
      <c r="C775" s="10">
        <v>-1.9962242172137401</v>
      </c>
      <c r="D775" s="10">
        <v>11.125295605447301</v>
      </c>
      <c r="E775" s="10">
        <v>1.0038132917619199E-2</v>
      </c>
      <c r="F775" s="10" t="str">
        <f>"DEFA8P"</f>
        <v>DEFA8P</v>
      </c>
      <c r="G775" s="10" t="str">
        <f>"unprocessed_pseudogene"</f>
        <v>unprocessed_pseudogene</v>
      </c>
      <c r="J775" s="14"/>
    </row>
    <row r="776" spans="1:10" x14ac:dyDescent="0.2">
      <c r="A776" s="10" t="str">
        <f>"ENSG00000233238.1"</f>
        <v>ENSG00000233238.1</v>
      </c>
      <c r="B776" s="10">
        <v>-2.4622348972655299</v>
      </c>
      <c r="C776" s="10">
        <v>-1.9874600643760201</v>
      </c>
      <c r="D776" s="10">
        <v>5.5663237816865196</v>
      </c>
      <c r="E776" s="10">
        <v>4.5635126417170997E-2</v>
      </c>
      <c r="F776" s="10" t="str">
        <f>"DEFA9P"</f>
        <v>DEFA9P</v>
      </c>
      <c r="G776" s="10" t="str">
        <f>"unprocessed_pseudogene"</f>
        <v>unprocessed_pseudogene</v>
      </c>
      <c r="J776" s="14"/>
    </row>
    <row r="777" spans="1:10" x14ac:dyDescent="0.2">
      <c r="A777" s="10" t="str">
        <f>"ENSG00000233531.1"</f>
        <v>ENSG00000233531.1</v>
      </c>
      <c r="B777" s="10">
        <v>-2.87339507288412</v>
      </c>
      <c r="C777" s="10">
        <v>-1.1474815074721001</v>
      </c>
      <c r="D777" s="10">
        <v>8.8314204483412801</v>
      </c>
      <c r="E777" s="10">
        <v>1.7578810499140601E-2</v>
      </c>
      <c r="F777" s="10" t="str">
        <f>"DEFA10P"</f>
        <v>DEFA10P</v>
      </c>
      <c r="G777" s="10" t="str">
        <f>"unprocessed_pseudogene"</f>
        <v>unprocessed_pseudogene</v>
      </c>
      <c r="J777" s="14"/>
    </row>
    <row r="778" spans="1:10" x14ac:dyDescent="0.2">
      <c r="A778" s="10" t="str">
        <f>"ENSG00000233609.3"</f>
        <v>ENSG00000233609.3</v>
      </c>
      <c r="B778" s="10">
        <v>-1.9125065047080401</v>
      </c>
      <c r="C778" s="10">
        <v>-1.5148884290360101</v>
      </c>
      <c r="D778" s="10">
        <v>7.34532459061439</v>
      </c>
      <c r="E778" s="10">
        <v>2.6194802975100202E-2</v>
      </c>
      <c r="F778" s="10" t="str">
        <f>"RPL10P19"</f>
        <v>RPL10P19</v>
      </c>
      <c r="G778" s="10" t="str">
        <f>"transcribed_processed_pseudogene"</f>
        <v>transcribed_processed_pseudogene</v>
      </c>
      <c r="J778" s="14"/>
    </row>
    <row r="779" spans="1:10" x14ac:dyDescent="0.2">
      <c r="A779" s="10" t="str">
        <f>"ENSG00000173281.5"</f>
        <v>ENSG00000173281.5</v>
      </c>
      <c r="B779" s="10">
        <v>1.73109835667307</v>
      </c>
      <c r="C779" s="10">
        <v>-6.2882040840651396E-2</v>
      </c>
      <c r="D779" s="10">
        <v>19.243601169233301</v>
      </c>
      <c r="E779" s="10">
        <v>2.1698575725264701E-3</v>
      </c>
      <c r="F779" s="10" t="str">
        <f>"PPP1R3B"</f>
        <v>PPP1R3B</v>
      </c>
      <c r="G779" s="10" t="str">
        <f>"protein_coding"</f>
        <v>protein_coding</v>
      </c>
      <c r="J779" s="14"/>
    </row>
    <row r="780" spans="1:10" x14ac:dyDescent="0.2">
      <c r="A780" s="10" t="str">
        <f>"ENSG00000171044.10"</f>
        <v>ENSG00000171044.10</v>
      </c>
      <c r="B780" s="10">
        <v>-1.66639524442405</v>
      </c>
      <c r="C780" s="10">
        <v>-1.3141626368867201</v>
      </c>
      <c r="D780" s="10">
        <v>7.1457905185001698</v>
      </c>
      <c r="E780" s="10">
        <v>2.7637361291518499E-2</v>
      </c>
      <c r="F780" s="10" t="str">
        <f>"XKR6"</f>
        <v>XKR6</v>
      </c>
      <c r="G780" s="10" t="str">
        <f>"protein_coding"</f>
        <v>protein_coding</v>
      </c>
      <c r="J780" s="14"/>
    </row>
    <row r="781" spans="1:10" x14ac:dyDescent="0.2">
      <c r="A781" s="10" t="str">
        <f>"ENSG00000154319.16"</f>
        <v>ENSG00000154319.16</v>
      </c>
      <c r="B781" s="10">
        <v>-2.2636519338628198</v>
      </c>
      <c r="C781" s="10">
        <v>-1.5290195187615401</v>
      </c>
      <c r="D781" s="10">
        <v>5.4142601497847096</v>
      </c>
      <c r="E781" s="10">
        <v>4.8019007105636502E-2</v>
      </c>
      <c r="F781" s="10" t="str">
        <f>"FAM167A"</f>
        <v>FAM167A</v>
      </c>
      <c r="G781" s="10" t="str">
        <f>"protein_coding"</f>
        <v>protein_coding</v>
      </c>
      <c r="J781" s="14"/>
    </row>
    <row r="782" spans="1:10" x14ac:dyDescent="0.2">
      <c r="A782" s="10" t="str">
        <f>"ENSG00000104723.20"</f>
        <v>ENSG00000104723.20</v>
      </c>
      <c r="B782" s="10">
        <v>3.0992960760599</v>
      </c>
      <c r="C782" s="10">
        <v>0.52164192932399001</v>
      </c>
      <c r="D782" s="10">
        <v>51.388932256153097</v>
      </c>
      <c r="E782" s="13">
        <v>8.9664099941022201E-5</v>
      </c>
      <c r="F782" s="10" t="str">
        <f>"TUSC3"</f>
        <v>TUSC3</v>
      </c>
      <c r="G782" s="10" t="str">
        <f>"protein_coding"</f>
        <v>protein_coding</v>
      </c>
      <c r="J782" s="14"/>
    </row>
    <row r="783" spans="1:10" x14ac:dyDescent="0.2">
      <c r="A783" s="10" t="str">
        <f>"ENSG00000104760.17"</f>
        <v>ENSG00000104760.17</v>
      </c>
      <c r="B783" s="10">
        <v>1.31563272527607</v>
      </c>
      <c r="C783" s="10">
        <v>7.5367131001761196</v>
      </c>
      <c r="D783" s="10">
        <v>7.5895474663021298</v>
      </c>
      <c r="E783" s="10">
        <v>2.4581177608653301E-2</v>
      </c>
      <c r="F783" s="10" t="str">
        <f>"FGL1"</f>
        <v>FGL1</v>
      </c>
      <c r="G783" s="10" t="str">
        <f>"protein_coding"</f>
        <v>protein_coding</v>
      </c>
      <c r="J783" s="14"/>
    </row>
    <row r="784" spans="1:10" x14ac:dyDescent="0.2">
      <c r="A784" s="10" t="str">
        <f>"ENSG00000254054.2"</f>
        <v>ENSG00000254054.2</v>
      </c>
      <c r="B784" s="10">
        <v>1.33234151344337</v>
      </c>
      <c r="C784" s="10">
        <v>5.4806953905886102</v>
      </c>
      <c r="D784" s="10">
        <v>25.600139933715699</v>
      </c>
      <c r="E784" s="10">
        <v>9.4137096804490701E-4</v>
      </c>
      <c r="F784" s="10" t="str">
        <f>"AC087273.2"</f>
        <v>AC087273.2</v>
      </c>
      <c r="G784" s="10" t="str">
        <f>"lincRNA"</f>
        <v>lincRNA</v>
      </c>
      <c r="J784" s="14"/>
    </row>
    <row r="785" spans="1:10" x14ac:dyDescent="0.2">
      <c r="A785" s="10" t="str">
        <f>"ENSG00000254064.1"</f>
        <v>ENSG00000254064.1</v>
      </c>
      <c r="B785" s="10">
        <v>1.7751026269721599</v>
      </c>
      <c r="C785" s="10">
        <v>-1.12784504665652</v>
      </c>
      <c r="D785" s="10">
        <v>6.4373292685739996</v>
      </c>
      <c r="E785" s="10">
        <v>3.45279933151472E-2</v>
      </c>
      <c r="F785" s="10" t="str">
        <f>"AC105206.2"</f>
        <v>AC105206.2</v>
      </c>
      <c r="G785" s="10" t="str">
        <f>"antisense"</f>
        <v>antisense</v>
      </c>
      <c r="J785" s="14"/>
    </row>
    <row r="786" spans="1:10" x14ac:dyDescent="0.2">
      <c r="A786" s="10" t="str">
        <f>"ENSG00000197181.12"</f>
        <v>ENSG00000197181.12</v>
      </c>
      <c r="B786" s="10">
        <v>2.7609142343758601</v>
      </c>
      <c r="C786" s="10">
        <v>0.32303252330322402</v>
      </c>
      <c r="D786" s="10">
        <v>22.7485610471856</v>
      </c>
      <c r="E786" s="10">
        <v>1.36204947442462E-3</v>
      </c>
      <c r="F786" s="10" t="str">
        <f>"PIWIL2"</f>
        <v>PIWIL2</v>
      </c>
      <c r="G786" s="10" t="str">
        <f>"protein_coding"</f>
        <v>protein_coding</v>
      </c>
      <c r="J786" s="14"/>
    </row>
    <row r="787" spans="1:10" x14ac:dyDescent="0.2">
      <c r="A787" s="10" t="str">
        <f>"ENSG00000104635.14"</f>
        <v>ENSG00000104635.14</v>
      </c>
      <c r="B787" s="10">
        <v>1.2963214122669799</v>
      </c>
      <c r="C787" s="10">
        <v>7.6856059530471201</v>
      </c>
      <c r="D787" s="10">
        <v>25.089576358050699</v>
      </c>
      <c r="E787" s="10">
        <v>1.0032829562288501E-3</v>
      </c>
      <c r="F787" s="10" t="str">
        <f>"SLC39A14"</f>
        <v>SLC39A14</v>
      </c>
      <c r="G787" s="10" t="str">
        <f>"protein_coding"</f>
        <v>protein_coding</v>
      </c>
      <c r="J787" s="14"/>
    </row>
    <row r="788" spans="1:10" x14ac:dyDescent="0.2">
      <c r="A788" s="10" t="str">
        <f>"ENSG00000245025.2"</f>
        <v>ENSG00000245025.2</v>
      </c>
      <c r="B788" s="10">
        <v>-1.7451266060778099</v>
      </c>
      <c r="C788" s="10">
        <v>-1.4396595680497299</v>
      </c>
      <c r="D788" s="10">
        <v>8.0471179914174407</v>
      </c>
      <c r="E788" s="10">
        <v>2.1287071161955801E-2</v>
      </c>
      <c r="F788" s="10" t="str">
        <f>"AC107959.1"</f>
        <v>AC107959.1</v>
      </c>
      <c r="G788" s="10" t="str">
        <f>"antisense"</f>
        <v>antisense</v>
      </c>
      <c r="J788" s="14"/>
    </row>
    <row r="789" spans="1:10" x14ac:dyDescent="0.2">
      <c r="A789" s="10" t="str">
        <f>"ENSG00000092964.18"</f>
        <v>ENSG00000092964.18</v>
      </c>
      <c r="B789" s="10">
        <v>1.62297041699593</v>
      </c>
      <c r="C789" s="10">
        <v>4.5968020520863497</v>
      </c>
      <c r="D789" s="10">
        <v>45.878134662952696</v>
      </c>
      <c r="E789" s="10">
        <v>1.3376678725855501E-4</v>
      </c>
      <c r="F789" s="10" t="str">
        <f>"DPYSL2"</f>
        <v>DPYSL2</v>
      </c>
      <c r="G789" s="10" t="str">
        <f>"protein_coding"</f>
        <v>protein_coding</v>
      </c>
      <c r="J789" s="14"/>
    </row>
    <row r="790" spans="1:10" x14ac:dyDescent="0.2">
      <c r="A790" s="10" t="str">
        <f>"ENSG00000120915.13"</f>
        <v>ENSG00000120915.13</v>
      </c>
      <c r="B790" s="10">
        <v>1.50531903567602</v>
      </c>
      <c r="C790" s="10">
        <v>4.20816208400859</v>
      </c>
      <c r="D790" s="10">
        <v>23.6847544947342</v>
      </c>
      <c r="E790" s="10">
        <v>1.2019310586230401E-3</v>
      </c>
      <c r="F790" s="10" t="str">
        <f>"EPHX2"</f>
        <v>EPHX2</v>
      </c>
      <c r="G790" s="10" t="str">
        <f>"protein_coding"</f>
        <v>protein_coding</v>
      </c>
      <c r="J790" s="14"/>
    </row>
    <row r="791" spans="1:10" x14ac:dyDescent="0.2">
      <c r="A791" s="10" t="str">
        <f>"ENSG00000168077.14"</f>
        <v>ENSG00000168077.14</v>
      </c>
      <c r="B791" s="10">
        <v>-1.42715250043484</v>
      </c>
      <c r="C791" s="10">
        <v>1.0387265303081801</v>
      </c>
      <c r="D791" s="10">
        <v>15.645864268011699</v>
      </c>
      <c r="E791" s="10">
        <v>4.09996551212502E-3</v>
      </c>
      <c r="F791" s="10" t="str">
        <f>"SCARA3"</f>
        <v>SCARA3</v>
      </c>
      <c r="G791" s="10" t="str">
        <f>"protein_coding"</f>
        <v>protein_coding</v>
      </c>
      <c r="J791" s="14"/>
    </row>
    <row r="792" spans="1:10" x14ac:dyDescent="0.2">
      <c r="A792" s="10" t="str">
        <f>"ENSG00000189233.12"</f>
        <v>ENSG00000189233.12</v>
      </c>
      <c r="B792" s="10">
        <v>2.3403965016854</v>
      </c>
      <c r="C792" s="10">
        <v>0.73120738209076996</v>
      </c>
      <c r="D792" s="10">
        <v>32.934569071729001</v>
      </c>
      <c r="E792" s="10">
        <v>4.1516796717806998E-4</v>
      </c>
      <c r="F792" s="10" t="str">
        <f>"NUGGC"</f>
        <v>NUGGC</v>
      </c>
      <c r="G792" s="10" t="str">
        <f>"protein_coding"</f>
        <v>protein_coding</v>
      </c>
      <c r="J792" s="14"/>
    </row>
    <row r="793" spans="1:10" x14ac:dyDescent="0.2">
      <c r="A793" s="10" t="str">
        <f>"ENSG00000246339.5"</f>
        <v>ENSG00000246339.5</v>
      </c>
      <c r="B793" s="10">
        <v>-1.20082631847432</v>
      </c>
      <c r="C793" s="10">
        <v>0.58123968573622498</v>
      </c>
      <c r="D793" s="10">
        <v>6.4228644230022702</v>
      </c>
      <c r="E793" s="10">
        <v>3.4682533822355199E-2</v>
      </c>
      <c r="F793" s="10" t="str">
        <f>"EXTL3-AS1"</f>
        <v>EXTL3-AS1</v>
      </c>
      <c r="G793" s="10" t="str">
        <f>"antisense"</f>
        <v>antisense</v>
      </c>
      <c r="J793" s="14"/>
    </row>
    <row r="794" spans="1:10" x14ac:dyDescent="0.2">
      <c r="A794" s="10" t="str">
        <f>"ENSG00000156687.11"</f>
        <v>ENSG00000156687.11</v>
      </c>
      <c r="B794" s="10">
        <v>-5.6129495267275002</v>
      </c>
      <c r="C794" s="10">
        <v>-1.84929023861977</v>
      </c>
      <c r="D794" s="10">
        <v>24.248759569778802</v>
      </c>
      <c r="E794" s="10">
        <v>2.3712929622585698E-3</v>
      </c>
      <c r="F794" s="10" t="str">
        <f>"UNC5D"</f>
        <v>UNC5D</v>
      </c>
      <c r="G794" s="10" t="str">
        <f>"protein_coding"</f>
        <v>protein_coding</v>
      </c>
      <c r="J794" s="14"/>
    </row>
    <row r="795" spans="1:10" x14ac:dyDescent="0.2">
      <c r="A795" s="10" t="str">
        <f>"ENSG00000253361.2"</f>
        <v>ENSG00000253361.2</v>
      </c>
      <c r="B795" s="10">
        <v>1.1406291448372901</v>
      </c>
      <c r="C795" s="10">
        <v>2.1738242949636</v>
      </c>
      <c r="D795" s="10">
        <v>21.564232290398301</v>
      </c>
      <c r="E795" s="10">
        <v>1.53462667245458E-3</v>
      </c>
      <c r="F795" s="10" t="str">
        <f>"AC069120.1"</f>
        <v>AC069120.1</v>
      </c>
      <c r="G795" s="10" t="str">
        <f>"lincRNA"</f>
        <v>lincRNA</v>
      </c>
      <c r="J795" s="14"/>
    </row>
    <row r="796" spans="1:10" x14ac:dyDescent="0.2">
      <c r="A796" s="10" t="str">
        <f>"ENSG00000147526.20"</f>
        <v>ENSG00000147526.20</v>
      </c>
      <c r="B796" s="10">
        <v>1.2793638375155201</v>
      </c>
      <c r="C796" s="10">
        <v>6.51936562853066</v>
      </c>
      <c r="D796" s="10">
        <v>48.586271923602197</v>
      </c>
      <c r="E796" s="10">
        <v>1.00818564594588E-4</v>
      </c>
      <c r="F796" s="10" t="str">
        <f>"TACC1"</f>
        <v>TACC1</v>
      </c>
      <c r="G796" s="10" t="str">
        <f>"protein_coding"</f>
        <v>protein_coding</v>
      </c>
      <c r="J796" s="14"/>
    </row>
    <row r="797" spans="1:10" x14ac:dyDescent="0.2">
      <c r="A797" s="10" t="str">
        <f>"ENSG00000169499.15"</f>
        <v>ENSG00000169499.15</v>
      </c>
      <c r="B797" s="10">
        <v>1.5596029197351899</v>
      </c>
      <c r="C797" s="10">
        <v>4.1207756602664798</v>
      </c>
      <c r="D797" s="10">
        <v>16.155413142191598</v>
      </c>
      <c r="E797" s="10">
        <v>3.7482247191037402E-3</v>
      </c>
      <c r="F797" s="10" t="str">
        <f>"PLEKHA2"</f>
        <v>PLEKHA2</v>
      </c>
      <c r="G797" s="10" t="str">
        <f>"protein_coding"</f>
        <v>protein_coding</v>
      </c>
      <c r="J797" s="14"/>
    </row>
    <row r="798" spans="1:10" x14ac:dyDescent="0.2">
      <c r="A798" s="10" t="str">
        <f>"ENSG00000176907.4"</f>
        <v>ENSG00000176907.4</v>
      </c>
      <c r="B798" s="10">
        <v>1.27393908112386</v>
      </c>
      <c r="C798" s="10">
        <v>6.1250635369813198</v>
      </c>
      <c r="D798" s="10">
        <v>6.8211080485245699</v>
      </c>
      <c r="E798" s="10">
        <v>3.0728102358737901E-2</v>
      </c>
      <c r="F798" s="10" t="str">
        <f>"TCIM"</f>
        <v>TCIM</v>
      </c>
      <c r="G798" s="10" t="str">
        <f>"protein_coding"</f>
        <v>protein_coding</v>
      </c>
      <c r="J798" s="14"/>
    </row>
    <row r="799" spans="1:10" x14ac:dyDescent="0.2">
      <c r="A799" s="10" t="str">
        <f>"ENSG00000104371.5"</f>
        <v>ENSG00000104371.5</v>
      </c>
      <c r="B799" s="10">
        <v>1.5672172352101901</v>
      </c>
      <c r="C799" s="10">
        <v>0.59116847251293403</v>
      </c>
      <c r="D799" s="10">
        <v>13.755504887677199</v>
      </c>
      <c r="E799" s="10">
        <v>5.8377608054910003E-3</v>
      </c>
      <c r="F799" s="10" t="str">
        <f>"DKK4"</f>
        <v>DKK4</v>
      </c>
      <c r="G799" s="10" t="str">
        <f>"protein_coding"</f>
        <v>protein_coding</v>
      </c>
      <c r="J799" s="14"/>
    </row>
    <row r="800" spans="1:10" x14ac:dyDescent="0.2">
      <c r="A800" s="10" t="str">
        <f>"ENSG00000248531.3"</f>
        <v>ENSG00000248531.3</v>
      </c>
      <c r="B800" s="10">
        <v>1.9765866031142001</v>
      </c>
      <c r="C800" s="10">
        <v>-1.6112409237216401</v>
      </c>
      <c r="D800" s="10">
        <v>7.4240447896929398</v>
      </c>
      <c r="E800" s="10">
        <v>2.5610404459591701E-2</v>
      </c>
      <c r="F800" s="10" t="str">
        <f>"NDUFA5P12"</f>
        <v>NDUFA5P12</v>
      </c>
      <c r="G800" s="10" t="str">
        <f>"unprocessed_pseudogene"</f>
        <v>unprocessed_pseudogene</v>
      </c>
      <c r="J800" s="14"/>
    </row>
    <row r="801" spans="1:10" x14ac:dyDescent="0.2">
      <c r="A801" s="10" t="str">
        <f>"ENSG00000196711.9"</f>
        <v>ENSG00000196711.9</v>
      </c>
      <c r="B801" s="10">
        <v>-2.07114973886803</v>
      </c>
      <c r="C801" s="10">
        <v>-0.476274254231633</v>
      </c>
      <c r="D801" s="10">
        <v>9.7259271522534991</v>
      </c>
      <c r="E801" s="10">
        <v>1.4041438957427E-2</v>
      </c>
      <c r="F801" s="10" t="str">
        <f>"ALKAL1"</f>
        <v>ALKAL1</v>
      </c>
      <c r="G801" s="10" t="str">
        <f>"protein_coding"</f>
        <v>protein_coding</v>
      </c>
      <c r="J801" s="14"/>
    </row>
    <row r="802" spans="1:10" x14ac:dyDescent="0.2">
      <c r="A802" s="10" t="str">
        <f>"ENSG00000228862.4"</f>
        <v>ENSG00000228862.4</v>
      </c>
      <c r="B802" s="10">
        <v>-2.0553254718951699</v>
      </c>
      <c r="C802" s="10">
        <v>-1.8843505424290501</v>
      </c>
      <c r="D802" s="10">
        <v>6.4153807075967997</v>
      </c>
      <c r="E802" s="10">
        <v>3.4430897540109903E-2</v>
      </c>
      <c r="F802" s="10" t="str">
        <f>"AC068389.1"</f>
        <v>AC068389.1</v>
      </c>
      <c r="G802" s="10" t="str">
        <f>"lincRNA"</f>
        <v>lincRNA</v>
      </c>
      <c r="J802" s="14"/>
    </row>
    <row r="803" spans="1:10" x14ac:dyDescent="0.2">
      <c r="A803" s="10" t="str">
        <f>"ENSG00000198363.18"</f>
        <v>ENSG00000198363.18</v>
      </c>
      <c r="B803" s="10">
        <v>1.2034955421675499</v>
      </c>
      <c r="C803" s="10">
        <v>9.0578817916105407</v>
      </c>
      <c r="D803" s="10">
        <v>20.728271353116501</v>
      </c>
      <c r="E803" s="10">
        <v>1.78629524284482E-3</v>
      </c>
      <c r="F803" s="10" t="str">
        <f>"ASPH"</f>
        <v>ASPH</v>
      </c>
      <c r="G803" s="10" t="str">
        <f>"protein_coding"</f>
        <v>protein_coding</v>
      </c>
      <c r="J803" s="14"/>
    </row>
    <row r="804" spans="1:10" x14ac:dyDescent="0.2">
      <c r="A804" s="10" t="str">
        <f>"ENSG00000137561.4"</f>
        <v>ENSG00000137561.4</v>
      </c>
      <c r="B804" s="10">
        <v>1.39115389331254</v>
      </c>
      <c r="C804" s="10">
        <v>1.28109379311771</v>
      </c>
      <c r="D804" s="10">
        <v>15.1277331234112</v>
      </c>
      <c r="E804" s="10">
        <v>4.50417727459765E-3</v>
      </c>
      <c r="F804" s="10" t="str">
        <f>"TTPA"</f>
        <v>TTPA</v>
      </c>
      <c r="G804" s="10" t="str">
        <f>"protein_coding"</f>
        <v>protein_coding</v>
      </c>
      <c r="J804" s="14"/>
    </row>
    <row r="805" spans="1:10" x14ac:dyDescent="0.2">
      <c r="A805" s="10" t="str">
        <f>"ENSG00000172817.4"</f>
        <v>ENSG00000172817.4</v>
      </c>
      <c r="B805" s="10">
        <v>-1.70770293037777</v>
      </c>
      <c r="C805" s="10">
        <v>0.87031622162715405</v>
      </c>
      <c r="D805" s="10">
        <v>12.0938901076014</v>
      </c>
      <c r="E805" s="10">
        <v>8.1901114846090594E-3</v>
      </c>
      <c r="F805" s="10" t="str">
        <f>"CYP7B1"</f>
        <v>CYP7B1</v>
      </c>
      <c r="G805" s="10" t="str">
        <f>"protein_coding"</f>
        <v>protein_coding</v>
      </c>
      <c r="J805" s="14"/>
    </row>
    <row r="806" spans="1:10" x14ac:dyDescent="0.2">
      <c r="A806" s="10" t="str">
        <f>"ENSG00000253190.3"</f>
        <v>ENSG00000253190.3</v>
      </c>
      <c r="B806" s="10">
        <v>-1.2827224074247501</v>
      </c>
      <c r="C806" s="10">
        <v>0.86126996913302201</v>
      </c>
      <c r="D806" s="10">
        <v>11.2590205951239</v>
      </c>
      <c r="E806" s="10">
        <v>9.8224112912947397E-3</v>
      </c>
      <c r="F806" s="10" t="str">
        <f>"AC084082.1"</f>
        <v>AC084082.1</v>
      </c>
      <c r="G806" s="10" t="str">
        <f>"lincRNA"</f>
        <v>lincRNA</v>
      </c>
      <c r="J806" s="14"/>
    </row>
    <row r="807" spans="1:10" x14ac:dyDescent="0.2">
      <c r="A807" s="10" t="str">
        <f>"ENSG00000147573.17"</f>
        <v>ENSG00000147573.17</v>
      </c>
      <c r="B807" s="10">
        <v>-2.6104362908862</v>
      </c>
      <c r="C807" s="10">
        <v>0.99829200760396997</v>
      </c>
      <c r="D807" s="10">
        <v>26.376074273257</v>
      </c>
      <c r="E807" s="10">
        <v>8.5613310255850999E-4</v>
      </c>
      <c r="F807" s="10" t="str">
        <f>"TRIM55"</f>
        <v>TRIM55</v>
      </c>
      <c r="G807" s="10" t="str">
        <f t="shared" ref="G807:G813" si="28">"protein_coding"</f>
        <v>protein_coding</v>
      </c>
      <c r="J807" s="14"/>
    </row>
    <row r="808" spans="1:10" x14ac:dyDescent="0.2">
      <c r="A808" s="10" t="str">
        <f>"ENSG00000185697.16"</f>
        <v>ENSG00000185697.16</v>
      </c>
      <c r="B808" s="10">
        <v>-1.5259239667661399</v>
      </c>
      <c r="C808" s="10">
        <v>4.1103984721416902</v>
      </c>
      <c r="D808" s="10">
        <v>27.7210124177262</v>
      </c>
      <c r="E808" s="10">
        <v>7.2999451104091399E-4</v>
      </c>
      <c r="F808" s="10" t="str">
        <f>"MYBL1"</f>
        <v>MYBL1</v>
      </c>
      <c r="G808" s="10" t="str">
        <f t="shared" si="28"/>
        <v>protein_coding</v>
      </c>
      <c r="J808" s="14"/>
    </row>
    <row r="809" spans="1:10" x14ac:dyDescent="0.2">
      <c r="A809" s="10" t="str">
        <f>"ENSG00000104313.19"</f>
        <v>ENSG00000104313.19</v>
      </c>
      <c r="B809" s="10">
        <v>-1.9086880351295601</v>
      </c>
      <c r="C809" s="10">
        <v>-1.3443578687395601</v>
      </c>
      <c r="D809" s="10">
        <v>5.52718159269258</v>
      </c>
      <c r="E809" s="10">
        <v>4.6234094013873503E-2</v>
      </c>
      <c r="F809" s="10" t="str">
        <f>"EYA1"</f>
        <v>EYA1</v>
      </c>
      <c r="G809" s="10" t="str">
        <f t="shared" si="28"/>
        <v>protein_coding</v>
      </c>
      <c r="J809" s="14"/>
    </row>
    <row r="810" spans="1:10" x14ac:dyDescent="0.2">
      <c r="A810" s="10" t="str">
        <f>"ENSG00000154589.6"</f>
        <v>ENSG00000154589.6</v>
      </c>
      <c r="B810" s="10">
        <v>2.2193458778664601</v>
      </c>
      <c r="C810" s="10">
        <v>2.4047837679336102</v>
      </c>
      <c r="D810" s="10">
        <v>28.9182186850298</v>
      </c>
      <c r="E810" s="10">
        <v>6.3668571483084697E-4</v>
      </c>
      <c r="F810" s="10" t="str">
        <f>"LY96"</f>
        <v>LY96</v>
      </c>
      <c r="G810" s="10" t="str">
        <f t="shared" si="28"/>
        <v>protein_coding</v>
      </c>
      <c r="J810" s="14"/>
    </row>
    <row r="811" spans="1:10" x14ac:dyDescent="0.2">
      <c r="A811" s="10" t="str">
        <f>"ENSG00000121005.9"</f>
        <v>ENSG00000121005.9</v>
      </c>
      <c r="B811" s="10">
        <v>-2.1309397598165498</v>
      </c>
      <c r="C811" s="10">
        <v>-2.1512168010069601</v>
      </c>
      <c r="D811" s="10">
        <v>5.8697515084011203</v>
      </c>
      <c r="E811" s="10">
        <v>4.0827832260349299E-2</v>
      </c>
      <c r="F811" s="10" t="str">
        <f>"CRISPLD1"</f>
        <v>CRISPLD1</v>
      </c>
      <c r="G811" s="10" t="str">
        <f t="shared" si="28"/>
        <v>protein_coding</v>
      </c>
      <c r="J811" s="14"/>
    </row>
    <row r="812" spans="1:10" x14ac:dyDescent="0.2">
      <c r="A812" s="10" t="str">
        <f>"ENSG00000164683.17"</f>
        <v>ENSG00000164683.17</v>
      </c>
      <c r="B812" s="10">
        <v>1.05398287968017</v>
      </c>
      <c r="C812" s="10">
        <v>3.8063586953057902</v>
      </c>
      <c r="D812" s="10">
        <v>10.386031987781299</v>
      </c>
      <c r="E812" s="10">
        <v>1.19907801821021E-2</v>
      </c>
      <c r="F812" s="10" t="str">
        <f>"HEY1"</f>
        <v>HEY1</v>
      </c>
      <c r="G812" s="10" t="str">
        <f t="shared" si="28"/>
        <v>protein_coding</v>
      </c>
      <c r="J812" s="14"/>
    </row>
    <row r="813" spans="1:10" x14ac:dyDescent="0.2">
      <c r="A813" s="10" t="str">
        <f>"ENSG00000076554.15"</f>
        <v>ENSG00000076554.15</v>
      </c>
      <c r="B813" s="10">
        <v>1.36449237647488</v>
      </c>
      <c r="C813" s="10">
        <v>3.9232970144077899</v>
      </c>
      <c r="D813" s="10">
        <v>13.379270081207499</v>
      </c>
      <c r="E813" s="10">
        <v>6.28719546870071E-3</v>
      </c>
      <c r="F813" s="10" t="str">
        <f>"TPD52"</f>
        <v>TPD52</v>
      </c>
      <c r="G813" s="10" t="str">
        <f t="shared" si="28"/>
        <v>protein_coding</v>
      </c>
      <c r="J813" s="14"/>
    </row>
    <row r="814" spans="1:10" x14ac:dyDescent="0.2">
      <c r="A814" s="10" t="str">
        <f>"ENSG00000260317.1"</f>
        <v>ENSG00000260317.1</v>
      </c>
      <c r="B814" s="10">
        <v>-2.31186802966752</v>
      </c>
      <c r="C814" s="10">
        <v>-1.74861562085259</v>
      </c>
      <c r="D814" s="10">
        <v>8.3869174432865705</v>
      </c>
      <c r="E814" s="10">
        <v>1.9566645993366799E-2</v>
      </c>
      <c r="F814" s="10" t="str">
        <f>"AC009812.4"</f>
        <v>AC009812.4</v>
      </c>
      <c r="G814" s="10" t="str">
        <f>"lincRNA"</f>
        <v>lincRNA</v>
      </c>
      <c r="J814" s="14"/>
    </row>
    <row r="815" spans="1:10" x14ac:dyDescent="0.2">
      <c r="A815" s="10" t="str">
        <f>"ENSG00000253598.1"</f>
        <v>ENSG00000253598.1</v>
      </c>
      <c r="B815" s="10">
        <v>2.5659641207000599</v>
      </c>
      <c r="C815" s="10">
        <v>0.30688216054380502</v>
      </c>
      <c r="D815" s="10">
        <v>14.8303342342295</v>
      </c>
      <c r="E815" s="10">
        <v>4.7578378056981896E-3</v>
      </c>
      <c r="F815" s="10" t="str">
        <f>"SLC10A5"</f>
        <v>SLC10A5</v>
      </c>
      <c r="G815" s="10" t="str">
        <f t="shared" ref="G815:G820" si="29">"protein_coding"</f>
        <v>protein_coding</v>
      </c>
      <c r="J815" s="14"/>
    </row>
    <row r="816" spans="1:10" x14ac:dyDescent="0.2">
      <c r="A816" s="10" t="str">
        <f>"ENSG00000164879.7"</f>
        <v>ENSG00000164879.7</v>
      </c>
      <c r="B816" s="10">
        <v>1.3786599266603199</v>
      </c>
      <c r="C816" s="10">
        <v>7.7345100865974195E-2</v>
      </c>
      <c r="D816" s="10">
        <v>13.1705143199378</v>
      </c>
      <c r="E816" s="10">
        <v>6.3714318779098996E-3</v>
      </c>
      <c r="F816" s="10" t="str">
        <f>"CA3"</f>
        <v>CA3</v>
      </c>
      <c r="G816" s="10" t="str">
        <f t="shared" si="29"/>
        <v>protein_coding</v>
      </c>
      <c r="J816" s="14"/>
    </row>
    <row r="817" spans="1:10" x14ac:dyDescent="0.2">
      <c r="A817" s="10" t="str">
        <f>"ENSG00000104267.10"</f>
        <v>ENSG00000104267.10</v>
      </c>
      <c r="B817" s="10">
        <v>-2.3117935789737398</v>
      </c>
      <c r="C817" s="10">
        <v>2.7093895523617699</v>
      </c>
      <c r="D817" s="10">
        <v>58.422241877448101</v>
      </c>
      <c r="E817" s="13">
        <v>5.66587004919347E-5</v>
      </c>
      <c r="F817" s="10" t="str">
        <f>"CA2"</f>
        <v>CA2</v>
      </c>
      <c r="G817" s="10" t="str">
        <f t="shared" si="29"/>
        <v>protein_coding</v>
      </c>
      <c r="J817" s="14"/>
    </row>
    <row r="818" spans="1:10" x14ac:dyDescent="0.2">
      <c r="A818" s="10" t="str">
        <f>"ENSG00000175305.17"</f>
        <v>ENSG00000175305.17</v>
      </c>
      <c r="B818" s="10">
        <v>-1.06198255282161</v>
      </c>
      <c r="C818" s="10">
        <v>1.6926086931798401</v>
      </c>
      <c r="D818" s="10">
        <v>10.500611295255201</v>
      </c>
      <c r="E818" s="10">
        <v>1.16740911564486E-2</v>
      </c>
      <c r="F818" s="10" t="str">
        <f>"CCNE2"</f>
        <v>CCNE2</v>
      </c>
      <c r="G818" s="10" t="str">
        <f t="shared" si="29"/>
        <v>protein_coding</v>
      </c>
      <c r="J818" s="14"/>
    </row>
    <row r="819" spans="1:10" x14ac:dyDescent="0.2">
      <c r="A819" s="10" t="str">
        <f>"ENSG00000132561.14"</f>
        <v>ENSG00000132561.14</v>
      </c>
      <c r="B819" s="10">
        <v>-1.80759847169994</v>
      </c>
      <c r="C819" s="10">
        <v>1.99118729735697</v>
      </c>
      <c r="D819" s="10">
        <v>15.4200061259275</v>
      </c>
      <c r="E819" s="10">
        <v>4.2711640984002498E-3</v>
      </c>
      <c r="F819" s="10" t="str">
        <f>"MATN2"</f>
        <v>MATN2</v>
      </c>
      <c r="G819" s="10" t="str">
        <f t="shared" si="29"/>
        <v>protein_coding</v>
      </c>
      <c r="J819" s="14"/>
    </row>
    <row r="820" spans="1:10" x14ac:dyDescent="0.2">
      <c r="A820" s="10" t="str">
        <f>"ENSG00000104490.18"</f>
        <v>ENSG00000104490.18</v>
      </c>
      <c r="B820" s="10">
        <v>-1.2990618274907799</v>
      </c>
      <c r="C820" s="10">
        <v>-0.94511325741679397</v>
      </c>
      <c r="D820" s="10">
        <v>6.0142745431052802</v>
      </c>
      <c r="E820" s="10">
        <v>3.9101368899459699E-2</v>
      </c>
      <c r="F820" s="10" t="str">
        <f>"NCALD"</f>
        <v>NCALD</v>
      </c>
      <c r="G820" s="10" t="str">
        <f t="shared" si="29"/>
        <v>protein_coding</v>
      </c>
      <c r="J820" s="14"/>
    </row>
    <row r="821" spans="1:10" x14ac:dyDescent="0.2">
      <c r="A821" s="10" t="str">
        <f>"ENSG00000283959.1"</f>
        <v>ENSG00000283959.1</v>
      </c>
      <c r="B821" s="10">
        <v>-2.38617936886846</v>
      </c>
      <c r="C821" s="10">
        <v>-0.380851973061405</v>
      </c>
      <c r="D821" s="10">
        <v>7.9159622695409402</v>
      </c>
      <c r="E821" s="10">
        <v>2.2443126881180199E-2</v>
      </c>
      <c r="F821" s="10" t="str">
        <f>"AP002851.1"</f>
        <v>AP002851.1</v>
      </c>
      <c r="G821" s="10" t="str">
        <f>"bidirectional_promoter_lncRNA"</f>
        <v>bidirectional_promoter_lncRNA</v>
      </c>
      <c r="J821" s="14"/>
    </row>
    <row r="822" spans="1:10" x14ac:dyDescent="0.2">
      <c r="A822" s="10" t="str">
        <f>"ENSG00000147650.11"</f>
        <v>ENSG00000147650.11</v>
      </c>
      <c r="B822" s="10">
        <v>-1.1020980461113301</v>
      </c>
      <c r="C822" s="10">
        <v>2.2420011393293899</v>
      </c>
      <c r="D822" s="10">
        <v>14.907062650050699</v>
      </c>
      <c r="E822" s="10">
        <v>4.6123516626353804E-3</v>
      </c>
      <c r="F822" s="10" t="str">
        <f>"LRP12"</f>
        <v>LRP12</v>
      </c>
      <c r="G822" s="10" t="str">
        <f>"protein_coding"</f>
        <v>protein_coding</v>
      </c>
      <c r="J822" s="14"/>
    </row>
    <row r="823" spans="1:10" x14ac:dyDescent="0.2">
      <c r="A823" s="10" t="str">
        <f>"ENSG00000251003.8"</f>
        <v>ENSG00000251003.8</v>
      </c>
      <c r="B823" s="10">
        <v>1.932970573442</v>
      </c>
      <c r="C823" s="10">
        <v>0.28599475710260303</v>
      </c>
      <c r="D823" s="10">
        <v>16.840026827540601</v>
      </c>
      <c r="E823" s="10">
        <v>3.3315148385184802E-3</v>
      </c>
      <c r="F823" s="10" t="str">
        <f>"ZFPM2-AS1"</f>
        <v>ZFPM2-AS1</v>
      </c>
      <c r="G823" s="10" t="str">
        <f>"processed_transcript"</f>
        <v>processed_transcript</v>
      </c>
      <c r="J823" s="14"/>
    </row>
    <row r="824" spans="1:10" x14ac:dyDescent="0.2">
      <c r="A824" s="10" t="str">
        <f>"ENSG00000147642.17"</f>
        <v>ENSG00000147642.17</v>
      </c>
      <c r="B824" s="10">
        <v>1.43842590531299</v>
      </c>
      <c r="C824" s="10">
        <v>2.80725804802195</v>
      </c>
      <c r="D824" s="10">
        <v>13.541789272434499</v>
      </c>
      <c r="E824" s="10">
        <v>6.0879236685141298E-3</v>
      </c>
      <c r="F824" s="10" t="str">
        <f>"SYBU"</f>
        <v>SYBU</v>
      </c>
      <c r="G824" s="10" t="str">
        <f>"protein_coding"</f>
        <v>protein_coding</v>
      </c>
      <c r="J824" s="14"/>
    </row>
    <row r="825" spans="1:10" x14ac:dyDescent="0.2">
      <c r="A825" s="10" t="str">
        <f>"ENSG00000172164.15"</f>
        <v>ENSG00000172164.15</v>
      </c>
      <c r="B825" s="10">
        <v>1.33405097203448</v>
      </c>
      <c r="C825" s="10">
        <v>6.3228065821611201</v>
      </c>
      <c r="D825" s="10">
        <v>12.2253224875372</v>
      </c>
      <c r="E825" s="10">
        <v>7.9650609583118304E-3</v>
      </c>
      <c r="F825" s="10" t="str">
        <f>"SNTB1"</f>
        <v>SNTB1</v>
      </c>
      <c r="G825" s="10" t="str">
        <f>"protein_coding"</f>
        <v>protein_coding</v>
      </c>
      <c r="J825" s="14"/>
    </row>
    <row r="826" spans="1:10" x14ac:dyDescent="0.2">
      <c r="A826" s="10" t="str">
        <f>"ENSG00000170873.18"</f>
        <v>ENSG00000170873.18</v>
      </c>
      <c r="B826" s="10">
        <v>1.52817031091893</v>
      </c>
      <c r="C826" s="10">
        <v>4.0259031496964903</v>
      </c>
      <c r="D826" s="10">
        <v>39.383824741691598</v>
      </c>
      <c r="E826" s="10">
        <v>2.2695855995496199E-4</v>
      </c>
      <c r="F826" s="10" t="str">
        <f>"MTSS1"</f>
        <v>MTSS1</v>
      </c>
      <c r="G826" s="10" t="str">
        <f>"protein_coding"</f>
        <v>protein_coding</v>
      </c>
      <c r="J826" s="14"/>
    </row>
    <row r="827" spans="1:10" x14ac:dyDescent="0.2">
      <c r="A827" s="10" t="str">
        <f>"ENSG00000168672.4"</f>
        <v>ENSG00000168672.4</v>
      </c>
      <c r="B827" s="10">
        <v>-1.2837873588647499</v>
      </c>
      <c r="C827" s="10">
        <v>4.6070154196708097</v>
      </c>
      <c r="D827" s="10">
        <v>8.8275939657110492</v>
      </c>
      <c r="E827" s="10">
        <v>1.7596215255067601E-2</v>
      </c>
      <c r="F827" s="10" t="str">
        <f>"FAM84B"</f>
        <v>FAM84B</v>
      </c>
      <c r="G827" s="10" t="str">
        <f>"protein_coding"</f>
        <v>protein_coding</v>
      </c>
      <c r="J827" s="14"/>
    </row>
    <row r="828" spans="1:10" x14ac:dyDescent="0.2">
      <c r="A828" s="10" t="str">
        <f>"ENSG00000282164.3"</f>
        <v>ENSG00000282164.3</v>
      </c>
      <c r="B828" s="10">
        <v>1.8211992667524699</v>
      </c>
      <c r="C828" s="10">
        <v>3.1785505397351002</v>
      </c>
      <c r="D828" s="10">
        <v>50.440559774360302</v>
      </c>
      <c r="E828" s="13">
        <v>9.2745187140132106E-5</v>
      </c>
      <c r="F828" s="10" t="str">
        <f>"PEG13"</f>
        <v>PEG13</v>
      </c>
      <c r="G828" s="10" t="str">
        <f>"sense_intronic"</f>
        <v>sense_intronic</v>
      </c>
      <c r="J828" s="14"/>
    </row>
    <row r="829" spans="1:10" x14ac:dyDescent="0.2">
      <c r="A829" s="10" t="str">
        <f>"ENSG00000254389.3"</f>
        <v>ENSG00000254389.3</v>
      </c>
      <c r="B829" s="10">
        <v>1.5488152055364399</v>
      </c>
      <c r="C829" s="10">
        <v>-7.04315713576108E-2</v>
      </c>
      <c r="D829" s="10">
        <v>8.9157189605318301</v>
      </c>
      <c r="E829" s="10">
        <v>1.72008144034177E-2</v>
      </c>
      <c r="F829" s="10" t="str">
        <f>"RHPN1-AS1"</f>
        <v>RHPN1-AS1</v>
      </c>
      <c r="G829" s="10" t="str">
        <f>"antisense"</f>
        <v>antisense</v>
      </c>
      <c r="J829" s="14"/>
    </row>
    <row r="830" spans="1:10" x14ac:dyDescent="0.2">
      <c r="A830" s="10" t="str">
        <f>"ENSG00000182759.3"</f>
        <v>ENSG00000182759.3</v>
      </c>
      <c r="B830" s="10">
        <v>-1.1804084365732499</v>
      </c>
      <c r="C830" s="10">
        <v>2.7312052555554498</v>
      </c>
      <c r="D830" s="10">
        <v>7.1628659537886099</v>
      </c>
      <c r="E830" s="10">
        <v>2.7779335340653199E-2</v>
      </c>
      <c r="F830" s="10" t="str">
        <f>"MAFA"</f>
        <v>MAFA</v>
      </c>
      <c r="G830" s="10" t="str">
        <f>"protein_coding"</f>
        <v>protein_coding</v>
      </c>
      <c r="J830" s="14"/>
    </row>
    <row r="831" spans="1:10" x14ac:dyDescent="0.2">
      <c r="A831" s="10" t="str">
        <f>"ENSG00000255050.1"</f>
        <v>ENSG00000255050.1</v>
      </c>
      <c r="B831" s="10">
        <v>-2.46220627425966</v>
      </c>
      <c r="C831" s="10">
        <v>-0.40931065090183</v>
      </c>
      <c r="D831" s="10">
        <v>28.466401456968601</v>
      </c>
      <c r="E831" s="10">
        <v>6.3360258621645096E-4</v>
      </c>
      <c r="F831" s="10" t="str">
        <f>"AC067930.4"</f>
        <v>AC067930.4</v>
      </c>
      <c r="G831" s="10" t="str">
        <f>"antisense"</f>
        <v>antisense</v>
      </c>
      <c r="J831" s="14"/>
    </row>
    <row r="832" spans="1:10" x14ac:dyDescent="0.2">
      <c r="A832" s="10" t="str">
        <f>"ENSG00000261150.2"</f>
        <v>ENSG00000261150.2</v>
      </c>
      <c r="B832" s="10">
        <v>-1.4689231973235599</v>
      </c>
      <c r="C832" s="10">
        <v>7.15123796335509</v>
      </c>
      <c r="D832" s="10">
        <v>6.73696599391128</v>
      </c>
      <c r="E832" s="10">
        <v>3.1514053979870997E-2</v>
      </c>
      <c r="F832" s="10" t="str">
        <f>"EPPK1"</f>
        <v>EPPK1</v>
      </c>
      <c r="G832" s="10" t="str">
        <f>"protein_coding"</f>
        <v>protein_coding</v>
      </c>
      <c r="J832" s="14"/>
    </row>
    <row r="833" spans="1:10" x14ac:dyDescent="0.2">
      <c r="A833" s="10" t="str">
        <f>"ENSG00000261678.3"</f>
        <v>ENSG00000261678.3</v>
      </c>
      <c r="B833" s="10">
        <v>-1.9984948392250399</v>
      </c>
      <c r="C833" s="10">
        <v>-1.6717369777054001</v>
      </c>
      <c r="D833" s="10">
        <v>6.7999374846044303</v>
      </c>
      <c r="E833" s="10">
        <v>3.0783155766948199E-2</v>
      </c>
      <c r="F833" s="10" t="str">
        <f>"SCRT1"</f>
        <v>SCRT1</v>
      </c>
      <c r="G833" s="10" t="str">
        <f>"protein_coding"</f>
        <v>protein_coding</v>
      </c>
      <c r="J833" s="14"/>
    </row>
    <row r="834" spans="1:10" x14ac:dyDescent="0.2">
      <c r="A834" s="10" t="str">
        <f>"ENSG00000137033.11"</f>
        <v>ENSG00000137033.11</v>
      </c>
      <c r="B834" s="10">
        <v>-2.3867664800866502</v>
      </c>
      <c r="C834" s="10">
        <v>3.8549702710099498</v>
      </c>
      <c r="D834" s="10">
        <v>15.907503466175999</v>
      </c>
      <c r="E834" s="10">
        <v>3.9150699435169601E-3</v>
      </c>
      <c r="F834" s="10" t="str">
        <f>"IL33"</f>
        <v>IL33</v>
      </c>
      <c r="G834" s="10" t="str">
        <f>"protein_coding"</f>
        <v>protein_coding</v>
      </c>
      <c r="J834" s="14"/>
    </row>
    <row r="835" spans="1:10" x14ac:dyDescent="0.2">
      <c r="A835" s="10" t="str">
        <f>"ENSG00000236924.1"</f>
        <v>ENSG00000236924.1</v>
      </c>
      <c r="B835" s="10">
        <v>2.5357017220360301</v>
      </c>
      <c r="C835" s="10">
        <v>-0.53198297383584703</v>
      </c>
      <c r="D835" s="10">
        <v>17.336699466012998</v>
      </c>
      <c r="E835" s="10">
        <v>3.0650142497923001E-3</v>
      </c>
      <c r="F835" s="10" t="str">
        <f>"AL162411.1"</f>
        <v>AL162411.1</v>
      </c>
      <c r="G835" s="10" t="str">
        <f>"lincRNA"</f>
        <v>lincRNA</v>
      </c>
      <c r="J835" s="14"/>
    </row>
    <row r="836" spans="1:10" x14ac:dyDescent="0.2">
      <c r="A836" s="10" t="str">
        <f>"ENSG00000107077.18"</f>
        <v>ENSG00000107077.18</v>
      </c>
      <c r="B836" s="10">
        <v>1.06555426565046</v>
      </c>
      <c r="C836" s="10">
        <v>5.3363818892860504</v>
      </c>
      <c r="D836" s="10">
        <v>7.4097233118686603</v>
      </c>
      <c r="E836" s="10">
        <v>2.5869163363750398E-2</v>
      </c>
      <c r="F836" s="10" t="str">
        <f>"KDM4C"</f>
        <v>KDM4C</v>
      </c>
      <c r="G836" s="10" t="str">
        <f>"protein_coding"</f>
        <v>protein_coding</v>
      </c>
      <c r="J836" s="14"/>
    </row>
    <row r="837" spans="1:10" x14ac:dyDescent="0.2">
      <c r="A837" s="10" t="str">
        <f>"ENSG00000164946.19"</f>
        <v>ENSG00000164946.19</v>
      </c>
      <c r="B837" s="10">
        <v>1.9878807877154001</v>
      </c>
      <c r="C837" s="10">
        <v>5.9456390474672096</v>
      </c>
      <c r="D837" s="10">
        <v>6.9441435293977802</v>
      </c>
      <c r="E837" s="10">
        <v>2.9622915988749499E-2</v>
      </c>
      <c r="F837" s="10" t="str">
        <f>"FREM1"</f>
        <v>FREM1</v>
      </c>
      <c r="G837" s="10" t="str">
        <f>"protein_coding"</f>
        <v>protein_coding</v>
      </c>
      <c r="J837" s="14"/>
    </row>
    <row r="838" spans="1:10" x14ac:dyDescent="0.2">
      <c r="A838" s="10" t="str">
        <f>"ENSG00000283647.1"</f>
        <v>ENSG00000283647.1</v>
      </c>
      <c r="B838" s="10">
        <v>2.7820926136613302</v>
      </c>
      <c r="C838" s="10">
        <v>-1.9546845815148099</v>
      </c>
      <c r="D838" s="10">
        <v>5.5553537917804698</v>
      </c>
      <c r="E838" s="10">
        <v>4.5801993056419098E-2</v>
      </c>
      <c r="F838" s="10" t="str">
        <f>"AL512643.1"</f>
        <v>AL512643.1</v>
      </c>
      <c r="G838" s="10" t="str">
        <f>"antisense"</f>
        <v>antisense</v>
      </c>
      <c r="J838" s="14"/>
    </row>
    <row r="839" spans="1:10" x14ac:dyDescent="0.2">
      <c r="A839" s="10" t="str">
        <f>"ENSG00000272842.1"</f>
        <v>ENSG00000272842.1</v>
      </c>
      <c r="B839" s="10">
        <v>1.2701118512195699</v>
      </c>
      <c r="C839" s="10">
        <v>-0.94531698180621904</v>
      </c>
      <c r="D839" s="10">
        <v>5.8504315745915898</v>
      </c>
      <c r="E839" s="10">
        <v>4.1253882023790003E-2</v>
      </c>
      <c r="F839" s="10" t="str">
        <f>"AL391834.1"</f>
        <v>AL391834.1</v>
      </c>
      <c r="G839" s="10" t="str">
        <f>"antisense"</f>
        <v>antisense</v>
      </c>
      <c r="J839" s="14"/>
    </row>
    <row r="840" spans="1:10" x14ac:dyDescent="0.2">
      <c r="A840" s="10" t="str">
        <f>"ENSG00000285911.1"</f>
        <v>ENSG00000285911.1</v>
      </c>
      <c r="B840" s="10">
        <v>-1.08838074348129</v>
      </c>
      <c r="C840" s="10">
        <v>0.29370127479080899</v>
      </c>
      <c r="D840" s="10">
        <v>6.64913587786251</v>
      </c>
      <c r="E840" s="10">
        <v>3.2361774719785297E-2</v>
      </c>
      <c r="F840" s="10" t="str">
        <f>"AL391834.3"</f>
        <v>AL391834.3</v>
      </c>
      <c r="G840" s="10" t="str">
        <f>"bidirectional_promoter_lncRNA"</f>
        <v>bidirectional_promoter_lncRNA</v>
      </c>
      <c r="J840" s="14"/>
    </row>
    <row r="841" spans="1:10" x14ac:dyDescent="0.2">
      <c r="A841" s="10" t="str">
        <f>"ENSG00000227071.1"</f>
        <v>ENSG00000227071.1</v>
      </c>
      <c r="B841" s="10">
        <v>-1.1505757501216201</v>
      </c>
      <c r="C841" s="10">
        <v>-0.86969486598693502</v>
      </c>
      <c r="D841" s="10">
        <v>6.7094890001268102</v>
      </c>
      <c r="E841" s="10">
        <v>3.1342057738268501E-2</v>
      </c>
      <c r="F841" s="10" t="str">
        <f>"FOCAD-AS1"</f>
        <v>FOCAD-AS1</v>
      </c>
      <c r="G841" s="10" t="str">
        <f>"lincRNA"</f>
        <v>lincRNA</v>
      </c>
      <c r="J841" s="14"/>
    </row>
    <row r="842" spans="1:10" x14ac:dyDescent="0.2">
      <c r="A842" s="10" t="str">
        <f>"ENSG00000234840.1"</f>
        <v>ENSG00000234840.1</v>
      </c>
      <c r="B842" s="10">
        <v>1.3350710353469399</v>
      </c>
      <c r="C842" s="10">
        <v>-1.2871422441324101</v>
      </c>
      <c r="D842" s="10">
        <v>5.8793589392644501</v>
      </c>
      <c r="E842" s="10">
        <v>4.07001738376193E-2</v>
      </c>
      <c r="F842" s="10" t="str">
        <f>"LINC01239"</f>
        <v>LINC01239</v>
      </c>
      <c r="G842" s="10" t="str">
        <f>"lincRNA"</f>
        <v>lincRNA</v>
      </c>
      <c r="J842" s="14"/>
    </row>
    <row r="843" spans="1:10" x14ac:dyDescent="0.2">
      <c r="A843" s="10" t="str">
        <f>"ENSG00000231991.4"</f>
        <v>ENSG00000231991.4</v>
      </c>
      <c r="B843" s="10">
        <v>1.7637172513544901</v>
      </c>
      <c r="C843" s="10">
        <v>2.58990728971302</v>
      </c>
      <c r="D843" s="10">
        <v>9.3452010875241793</v>
      </c>
      <c r="E843" s="10">
        <v>1.54261029258973E-2</v>
      </c>
      <c r="F843" s="10" t="str">
        <f>"ANXA2P2"</f>
        <v>ANXA2P2</v>
      </c>
      <c r="G843" s="10" t="str">
        <f>"processed_pseudogene"</f>
        <v>processed_pseudogene</v>
      </c>
      <c r="J843" s="14"/>
    </row>
    <row r="844" spans="1:10" x14ac:dyDescent="0.2">
      <c r="A844" s="10" t="str">
        <f>"ENSG00000164976.9"</f>
        <v>ENSG00000164976.9</v>
      </c>
      <c r="B844" s="10">
        <v>1.09515278851461</v>
      </c>
      <c r="C844" s="10">
        <v>5.6538447593967298</v>
      </c>
      <c r="D844" s="10">
        <v>10.7589149894391</v>
      </c>
      <c r="E844" s="10">
        <v>1.0997782461571501E-2</v>
      </c>
      <c r="F844" s="10" t="str">
        <f>"MYORG"</f>
        <v>MYORG</v>
      </c>
      <c r="G844" s="10" t="str">
        <f>"protein_coding"</f>
        <v>protein_coding</v>
      </c>
      <c r="J844" s="14"/>
    </row>
    <row r="845" spans="1:10" x14ac:dyDescent="0.2">
      <c r="A845" s="10" t="str">
        <f>"ENSG00000168913.7"</f>
        <v>ENSG00000168913.7</v>
      </c>
      <c r="B845" s="10">
        <v>-1.9716141178295401</v>
      </c>
      <c r="C845" s="10">
        <v>0.55092590264547003</v>
      </c>
      <c r="D845" s="10">
        <v>16.000950161132099</v>
      </c>
      <c r="E845" s="10">
        <v>3.8511094773349798E-3</v>
      </c>
      <c r="F845" s="10" t="str">
        <f>"ENHO"</f>
        <v>ENHO</v>
      </c>
      <c r="G845" s="10" t="str">
        <f>"protein_coding"</f>
        <v>protein_coding</v>
      </c>
      <c r="J845" s="14"/>
    </row>
    <row r="846" spans="1:10" x14ac:dyDescent="0.2">
      <c r="A846" s="10" t="str">
        <f>"ENSG00000205143.2"</f>
        <v>ENSG00000205143.2</v>
      </c>
      <c r="B846" s="10">
        <v>-1.9531704393693501</v>
      </c>
      <c r="C846" s="10">
        <v>-1.1661213597975699</v>
      </c>
      <c r="D846" s="10">
        <v>6.3752783242922</v>
      </c>
      <c r="E846" s="10">
        <v>3.5197157340408597E-2</v>
      </c>
      <c r="F846" s="10" t="str">
        <f>"ARID3C"</f>
        <v>ARID3C</v>
      </c>
      <c r="G846" s="10" t="str">
        <f>"protein_coding"</f>
        <v>protein_coding</v>
      </c>
      <c r="J846" s="14"/>
    </row>
    <row r="847" spans="1:10" x14ac:dyDescent="0.2">
      <c r="A847" s="10" t="str">
        <f>"ENSG00000187186.14"</f>
        <v>ENSG00000187186.14</v>
      </c>
      <c r="B847" s="10">
        <v>-1.7565099568746401</v>
      </c>
      <c r="C847" s="10">
        <v>-1.12945568526686</v>
      </c>
      <c r="D847" s="10">
        <v>10.2938223050306</v>
      </c>
      <c r="E847" s="10">
        <v>1.19854842312241E-2</v>
      </c>
      <c r="F847" s="10" t="str">
        <f>"AL162231.1"</f>
        <v>AL162231.1</v>
      </c>
      <c r="G847" s="10" t="str">
        <f>"protein_coding"</f>
        <v>protein_coding</v>
      </c>
      <c r="J847" s="14"/>
    </row>
    <row r="848" spans="1:10" x14ac:dyDescent="0.2">
      <c r="A848" s="10" t="str">
        <f>"ENSG00000230074.1"</f>
        <v>ENSG00000230074.1</v>
      </c>
      <c r="B848" s="10">
        <v>-1.9246292030583301</v>
      </c>
      <c r="C848" s="10">
        <v>0.90605134647002805</v>
      </c>
      <c r="D848" s="10">
        <v>14.064578951707499</v>
      </c>
      <c r="E848" s="10">
        <v>5.4983036838500404E-3</v>
      </c>
      <c r="F848" s="10" t="str">
        <f>"AL162231.2"</f>
        <v>AL162231.2</v>
      </c>
      <c r="G848" s="10" t="str">
        <f>"antisense"</f>
        <v>antisense</v>
      </c>
      <c r="J848" s="14"/>
    </row>
    <row r="849" spans="1:10" x14ac:dyDescent="0.2">
      <c r="A849" s="10" t="str">
        <f>"ENSG00000137094.14"</f>
        <v>ENSG00000137094.14</v>
      </c>
      <c r="B849" s="10">
        <v>-1.3079752580316999</v>
      </c>
      <c r="C849" s="10">
        <v>3.7352351365522098</v>
      </c>
      <c r="D849" s="10">
        <v>12.3751849822353</v>
      </c>
      <c r="E849" s="10">
        <v>7.7178255947911003E-3</v>
      </c>
      <c r="F849" s="10" t="str">
        <f>"DNAJB5"</f>
        <v>DNAJB5</v>
      </c>
      <c r="G849" s="10" t="str">
        <f>"protein_coding"</f>
        <v>protein_coding</v>
      </c>
      <c r="J849" s="14"/>
    </row>
    <row r="850" spans="1:10" x14ac:dyDescent="0.2">
      <c r="A850" s="10" t="str">
        <f>"ENSG00000122694.16"</f>
        <v>ENSG00000122694.16</v>
      </c>
      <c r="B850" s="10">
        <v>-1.6042250024335001</v>
      </c>
      <c r="C850" s="10">
        <v>3.8944408393658199</v>
      </c>
      <c r="D850" s="10">
        <v>10.542997270859599</v>
      </c>
      <c r="E850" s="10">
        <v>1.1559604070742101E-2</v>
      </c>
      <c r="F850" s="10" t="str">
        <f>"GLIPR2"</f>
        <v>GLIPR2</v>
      </c>
      <c r="G850" s="10" t="str">
        <f>"protein_coding"</f>
        <v>protein_coding</v>
      </c>
      <c r="J850" s="14"/>
    </row>
    <row r="851" spans="1:10" x14ac:dyDescent="0.2">
      <c r="A851" s="10" t="str">
        <f>"ENSG00000234160.1"</f>
        <v>ENSG00000234160.1</v>
      </c>
      <c r="B851" s="10">
        <v>-1.9917514880285401</v>
      </c>
      <c r="C851" s="10">
        <v>0.58321611191424805</v>
      </c>
      <c r="D851" s="10">
        <v>20.771806209060301</v>
      </c>
      <c r="E851" s="10">
        <v>1.7978423890351401E-3</v>
      </c>
      <c r="F851" s="10" t="str">
        <f>"AL513165.1"</f>
        <v>AL513165.1</v>
      </c>
      <c r="G851" s="10" t="str">
        <f>"antisense"</f>
        <v>antisense</v>
      </c>
      <c r="J851" s="14"/>
    </row>
    <row r="852" spans="1:10" x14ac:dyDescent="0.2">
      <c r="A852" s="10" t="str">
        <f>"ENSG00000184906.11"</f>
        <v>ENSG00000184906.11</v>
      </c>
      <c r="B852" s="10">
        <v>2.4082470603779398</v>
      </c>
      <c r="C852" s="10">
        <v>-2.13645560463975</v>
      </c>
      <c r="D852" s="10">
        <v>6.9507747886376796</v>
      </c>
      <c r="E852" s="10">
        <v>2.9276884984104801E-2</v>
      </c>
      <c r="F852" s="10" t="str">
        <f>"AMYH02020865.1"</f>
        <v>AMYH02020865.1</v>
      </c>
      <c r="G852" s="10" t="str">
        <f>"transcribed_unprocessed_pseudogene"</f>
        <v>transcribed_unprocessed_pseudogene</v>
      </c>
      <c r="J852" s="14"/>
    </row>
    <row r="853" spans="1:10" x14ac:dyDescent="0.2">
      <c r="A853" s="10" t="str">
        <f>"ENSG00000154529.14"</f>
        <v>ENSG00000154529.14</v>
      </c>
      <c r="B853" s="10">
        <v>1.1843162230604301</v>
      </c>
      <c r="C853" s="10">
        <v>1.1677887220174601</v>
      </c>
      <c r="D853" s="10">
        <v>12.1661365353982</v>
      </c>
      <c r="E853" s="10">
        <v>7.9924175336053595E-3</v>
      </c>
      <c r="F853" s="10" t="str">
        <f>"CNTNAP3B"</f>
        <v>CNTNAP3B</v>
      </c>
      <c r="G853" s="10" t="str">
        <f>"protein_coding"</f>
        <v>protein_coding</v>
      </c>
      <c r="J853" s="14"/>
    </row>
    <row r="854" spans="1:10" x14ac:dyDescent="0.2">
      <c r="A854" s="10" t="str">
        <f>"ENSG00000236816.2"</f>
        <v>ENSG00000236816.2</v>
      </c>
      <c r="B854" s="10">
        <v>2.2933710139882302</v>
      </c>
      <c r="C854" s="10">
        <v>0.396414610766891</v>
      </c>
      <c r="D854" s="10">
        <v>16.247868153626499</v>
      </c>
      <c r="E854" s="10">
        <v>3.6882848190471799E-3</v>
      </c>
      <c r="F854" s="10" t="str">
        <f>"ANKRD20A7P"</f>
        <v>ANKRD20A7P</v>
      </c>
      <c r="G854" s="10" t="str">
        <f>"unprocessed_pseudogene"</f>
        <v>unprocessed_pseudogene</v>
      </c>
      <c r="J854" s="14"/>
    </row>
    <row r="855" spans="1:10" x14ac:dyDescent="0.2">
      <c r="A855" s="10" t="str">
        <f>"ENSG00000170165.5"</f>
        <v>ENSG00000170165.5</v>
      </c>
      <c r="B855" s="10">
        <v>2.42118672801065</v>
      </c>
      <c r="C855" s="10">
        <v>-0.60671525993972597</v>
      </c>
      <c r="D855" s="10">
        <v>30.577478096675598</v>
      </c>
      <c r="E855" s="10">
        <v>5.00224138053062E-4</v>
      </c>
      <c r="F855" s="10" t="str">
        <f>"CR848007.1"</f>
        <v>CR848007.1</v>
      </c>
      <c r="G855" s="10" t="str">
        <f>"unprocessed_pseudogene"</f>
        <v>unprocessed_pseudogene</v>
      </c>
      <c r="J855" s="14"/>
    </row>
    <row r="856" spans="1:10" x14ac:dyDescent="0.2">
      <c r="A856" s="10" t="str">
        <f>"ENSG00000230635.2"</f>
        <v>ENSG00000230635.2</v>
      </c>
      <c r="B856" s="10">
        <v>1.3349180404599299</v>
      </c>
      <c r="C856" s="10">
        <v>-0.63113625424824804</v>
      </c>
      <c r="D856" s="10">
        <v>5.4386762803398403</v>
      </c>
      <c r="E856" s="10">
        <v>4.7625741441229198E-2</v>
      </c>
      <c r="F856" s="10" t="str">
        <f>"CYP4F60P"</f>
        <v>CYP4F60P</v>
      </c>
      <c r="G856" s="10" t="str">
        <f>"unprocessed_pseudogene"</f>
        <v>unprocessed_pseudogene</v>
      </c>
      <c r="J856" s="14"/>
    </row>
    <row r="857" spans="1:10" x14ac:dyDescent="0.2">
      <c r="A857" s="10" t="str">
        <f>"ENSG00000276591.1"</f>
        <v>ENSG00000276591.1</v>
      </c>
      <c r="B857" s="10">
        <v>2.2215219389091398</v>
      </c>
      <c r="C857" s="10">
        <v>-1.48634908077552</v>
      </c>
      <c r="D857" s="10">
        <v>6.2955166514918801</v>
      </c>
      <c r="E857" s="10">
        <v>3.6081633802321801E-2</v>
      </c>
      <c r="F857" s="10" t="str">
        <f>"GXYLT1P5"</f>
        <v>GXYLT1P5</v>
      </c>
      <c r="G857" s="10" t="str">
        <f>"transcribed_processed_pseudogene"</f>
        <v>transcribed_processed_pseudogene</v>
      </c>
      <c r="J857" s="14"/>
    </row>
    <row r="858" spans="1:10" x14ac:dyDescent="0.2">
      <c r="A858" s="10" t="str">
        <f>"ENSG00000231527.6"</f>
        <v>ENSG00000231527.6</v>
      </c>
      <c r="B858" s="10">
        <v>-1.14849745798697</v>
      </c>
      <c r="C858" s="10">
        <v>1.94176128837829E-3</v>
      </c>
      <c r="D858" s="10">
        <v>6.3565557508998598</v>
      </c>
      <c r="E858" s="10">
        <v>3.54022830683145E-2</v>
      </c>
      <c r="F858" s="10" t="str">
        <f>"FAM27C"</f>
        <v>FAM27C</v>
      </c>
      <c r="G858" s="10" t="str">
        <f>"processed_transcript"</f>
        <v>processed_transcript</v>
      </c>
      <c r="J858" s="14"/>
    </row>
    <row r="859" spans="1:10" x14ac:dyDescent="0.2">
      <c r="A859" s="10" t="str">
        <f>"ENSG00000186466.5"</f>
        <v>ENSG00000186466.5</v>
      </c>
      <c r="B859" s="10">
        <v>1.1476303499585701</v>
      </c>
      <c r="C859" s="10">
        <v>9.8726872737092602E-2</v>
      </c>
      <c r="D859" s="10">
        <v>11.409155638202799</v>
      </c>
      <c r="E859" s="10">
        <v>9.2696176946744993E-3</v>
      </c>
      <c r="F859" s="10" t="str">
        <f>"AQP7P1"</f>
        <v>AQP7P1</v>
      </c>
      <c r="G859" s="10" t="str">
        <f>"unprocessed_pseudogene"</f>
        <v>unprocessed_pseudogene</v>
      </c>
      <c r="J859" s="14"/>
    </row>
    <row r="860" spans="1:10" x14ac:dyDescent="0.2">
      <c r="A860" s="10" t="str">
        <f>"ENSG00000232815.1"</f>
        <v>ENSG00000232815.1</v>
      </c>
      <c r="B860" s="10">
        <v>-1.10729103786475</v>
      </c>
      <c r="C860" s="10">
        <v>2.1379248801377999</v>
      </c>
      <c r="D860" s="10">
        <v>6.5614111405803603</v>
      </c>
      <c r="E860" s="10">
        <v>3.32374804730656E-2</v>
      </c>
      <c r="F860" s="10" t="str">
        <f>"DUX4L50"</f>
        <v>DUX4L50</v>
      </c>
      <c r="G860" s="10" t="str">
        <f>"unprocessed_pseudogene"</f>
        <v>unprocessed_pseudogene</v>
      </c>
      <c r="J860" s="14"/>
    </row>
    <row r="861" spans="1:10" x14ac:dyDescent="0.2">
      <c r="A861" s="10" t="str">
        <f>"ENSG00000181997.8"</f>
        <v>ENSG00000181997.8</v>
      </c>
      <c r="B861" s="10">
        <v>1.5549561536685499</v>
      </c>
      <c r="C861" s="10">
        <v>-1.04922749394883</v>
      </c>
      <c r="D861" s="10">
        <v>8.4614848697770295</v>
      </c>
      <c r="E861" s="10">
        <v>1.90233089695277E-2</v>
      </c>
      <c r="F861" s="10" t="str">
        <f>"AQP7P2"</f>
        <v>AQP7P2</v>
      </c>
      <c r="G861" s="10" t="str">
        <f>"unprocessed_pseudogene"</f>
        <v>unprocessed_pseudogene</v>
      </c>
      <c r="J861" s="14"/>
    </row>
    <row r="862" spans="1:10" x14ac:dyDescent="0.2">
      <c r="A862" s="10" t="str">
        <f>"ENSG00000280286.1"</f>
        <v>ENSG00000280286.1</v>
      </c>
      <c r="B862" s="10">
        <v>-2.57324568300761</v>
      </c>
      <c r="C862" s="10">
        <v>-1.9370043736037701</v>
      </c>
      <c r="D862" s="10">
        <v>7.3312089321383196</v>
      </c>
      <c r="E862" s="10">
        <v>2.6458198312259099E-2</v>
      </c>
      <c r="F862" s="10" t="str">
        <f>"FRG1KP"</f>
        <v>FRG1KP</v>
      </c>
      <c r="G862" s="10" t="str">
        <f>"unprocessed_pseudogene"</f>
        <v>unprocessed_pseudogene</v>
      </c>
      <c r="J862" s="14"/>
    </row>
    <row r="863" spans="1:10" x14ac:dyDescent="0.2">
      <c r="A863" s="10" t="str">
        <f>"ENSG00000276386.1"</f>
        <v>ENSG00000276386.1</v>
      </c>
      <c r="B863" s="10">
        <v>1.74065548751976</v>
      </c>
      <c r="C863" s="10">
        <v>1.67739274819745</v>
      </c>
      <c r="D863" s="10">
        <v>22.569271792604599</v>
      </c>
      <c r="E863" s="10">
        <v>1.39569355664432E-3</v>
      </c>
      <c r="F863" s="10" t="str">
        <f>"CNTNAP3P2"</f>
        <v>CNTNAP3P2</v>
      </c>
      <c r="G863" s="10" t="str">
        <f>"unprocessed_pseudogene"</f>
        <v>unprocessed_pseudogene</v>
      </c>
      <c r="J863" s="14"/>
    </row>
    <row r="864" spans="1:10" x14ac:dyDescent="0.2">
      <c r="A864" s="10" t="str">
        <f>"ENSG00000107242.18"</f>
        <v>ENSG00000107242.18</v>
      </c>
      <c r="B864" s="10">
        <v>1.94925950313108</v>
      </c>
      <c r="C864" s="10">
        <v>2.0728944110045799</v>
      </c>
      <c r="D864" s="10">
        <v>10.2031075480159</v>
      </c>
      <c r="E864" s="10">
        <v>1.2519064782617099E-2</v>
      </c>
      <c r="F864" s="10" t="str">
        <f>"PIP5K1B"</f>
        <v>PIP5K1B</v>
      </c>
      <c r="G864" s="10" t="str">
        <f>"protein_coding"</f>
        <v>protein_coding</v>
      </c>
      <c r="J864" s="14"/>
    </row>
    <row r="865" spans="1:10" x14ac:dyDescent="0.2">
      <c r="A865" s="10" t="str">
        <f>"ENSG00000165060.13"</f>
        <v>ENSG00000165060.13</v>
      </c>
      <c r="B865" s="10">
        <v>1.1363429320027101</v>
      </c>
      <c r="C865" s="10">
        <v>2.81810782220027</v>
      </c>
      <c r="D865" s="10">
        <v>16.366677064886499</v>
      </c>
      <c r="E865" s="10">
        <v>3.6130084258569001E-3</v>
      </c>
      <c r="F865" s="10" t="str">
        <f>"FXN"</f>
        <v>FXN</v>
      </c>
      <c r="G865" s="10" t="str">
        <f>"protein_coding"</f>
        <v>protein_coding</v>
      </c>
      <c r="J865" s="14"/>
    </row>
    <row r="866" spans="1:10" x14ac:dyDescent="0.2">
      <c r="A866" s="10" t="str">
        <f>"ENSG00000119139.19"</f>
        <v>ENSG00000119139.19</v>
      </c>
      <c r="B866" s="10">
        <v>1.08825613675151</v>
      </c>
      <c r="C866" s="10">
        <v>3.7393033310977599</v>
      </c>
      <c r="D866" s="10">
        <v>28.3936236743926</v>
      </c>
      <c r="E866" s="10">
        <v>6.3894520403811705E-4</v>
      </c>
      <c r="F866" s="10" t="str">
        <f>"TJP2"</f>
        <v>TJP2</v>
      </c>
      <c r="G866" s="10" t="str">
        <f>"protein_coding"</f>
        <v>protein_coding</v>
      </c>
      <c r="J866" s="14"/>
    </row>
    <row r="867" spans="1:10" x14ac:dyDescent="0.2">
      <c r="A867" s="10" t="str">
        <f>"ENSG00000119125.16"</f>
        <v>ENSG00000119125.16</v>
      </c>
      <c r="B867" s="10">
        <v>3.8953759135898398</v>
      </c>
      <c r="C867" s="10">
        <v>6.1807554266682603</v>
      </c>
      <c r="D867" s="10">
        <v>28.195012935249899</v>
      </c>
      <c r="E867" s="10">
        <v>6.9113401863598505E-4</v>
      </c>
      <c r="F867" s="10" t="str">
        <f>"GDA"</f>
        <v>GDA</v>
      </c>
      <c r="G867" s="10" t="str">
        <f>"protein_coding"</f>
        <v>protein_coding</v>
      </c>
      <c r="J867" s="14"/>
    </row>
    <row r="868" spans="1:10" x14ac:dyDescent="0.2">
      <c r="A868" s="10" t="str">
        <f>"ENSG00000235523.1"</f>
        <v>ENSG00000235523.1</v>
      </c>
      <c r="B868" s="10">
        <v>5.27326791829078</v>
      </c>
      <c r="C868" s="10">
        <v>-2.12104456132972</v>
      </c>
      <c r="D868" s="10">
        <v>7.1852564240540397</v>
      </c>
      <c r="E868" s="10">
        <v>3.5931496519506202E-2</v>
      </c>
      <c r="F868" s="10" t="str">
        <f>"AL135924.2"</f>
        <v>AL135924.2</v>
      </c>
      <c r="G868" s="10" t="str">
        <f>"lincRNA"</f>
        <v>lincRNA</v>
      </c>
      <c r="J868" s="14"/>
    </row>
    <row r="869" spans="1:10" x14ac:dyDescent="0.2">
      <c r="A869" s="10" t="str">
        <f>"ENSG00000233926.1"</f>
        <v>ENSG00000233926.1</v>
      </c>
      <c r="B869" s="10">
        <v>-3.3708821329301402</v>
      </c>
      <c r="C869" s="10">
        <v>-1.9886989456880799</v>
      </c>
      <c r="D869" s="10">
        <v>7.38977880549771</v>
      </c>
      <c r="E869" s="10">
        <v>2.6017210683076601E-2</v>
      </c>
      <c r="F869" s="10" t="str">
        <f>"AL591368.1"</f>
        <v>AL591368.1</v>
      </c>
      <c r="G869" s="10" t="str">
        <f>"lincRNA"</f>
        <v>lincRNA</v>
      </c>
      <c r="J869" s="14"/>
    </row>
    <row r="870" spans="1:10" x14ac:dyDescent="0.2">
      <c r="A870" s="10" t="str">
        <f>"ENSG00000278988.1"</f>
        <v>ENSG00000278988.1</v>
      </c>
      <c r="B870" s="10">
        <v>2.38419027836636</v>
      </c>
      <c r="C870" s="10">
        <v>-1.59635885276036</v>
      </c>
      <c r="D870" s="10">
        <v>12.0022633722882</v>
      </c>
      <c r="E870" s="10">
        <v>8.1379976670829905E-3</v>
      </c>
      <c r="F870" s="10" t="str">
        <f>"AL356490.1"</f>
        <v>AL356490.1</v>
      </c>
      <c r="G870" s="10" t="str">
        <f>"TEC"</f>
        <v>TEC</v>
      </c>
      <c r="J870" s="14"/>
    </row>
    <row r="871" spans="1:10" x14ac:dyDescent="0.2">
      <c r="A871" s="10" t="str">
        <f>"ENSG00000213694.5"</f>
        <v>ENSG00000213694.5</v>
      </c>
      <c r="B871" s="10">
        <v>-1.11014679620441</v>
      </c>
      <c r="C871" s="10">
        <v>1.1902337940366601</v>
      </c>
      <c r="D871" s="10">
        <v>5.4782345177668699</v>
      </c>
      <c r="E871" s="10">
        <v>4.6997239664359397E-2</v>
      </c>
      <c r="F871" s="10" t="str">
        <f>"S1PR3"</f>
        <v>S1PR3</v>
      </c>
      <c r="G871" s="10" t="str">
        <f>"protein_coding"</f>
        <v>protein_coding</v>
      </c>
      <c r="J871" s="14"/>
    </row>
    <row r="872" spans="1:10" x14ac:dyDescent="0.2">
      <c r="A872" s="10" t="str">
        <f>"ENSG00000185920.15"</f>
        <v>ENSG00000185920.15</v>
      </c>
      <c r="B872" s="10">
        <v>1.0422839257768099</v>
      </c>
      <c r="C872" s="10">
        <v>2.2040535302346802</v>
      </c>
      <c r="D872" s="10">
        <v>13.3402359434786</v>
      </c>
      <c r="E872" s="10">
        <v>6.2303080689104897E-3</v>
      </c>
      <c r="F872" s="10" t="str">
        <f>"PTCH1"</f>
        <v>PTCH1</v>
      </c>
      <c r="G872" s="10" t="str">
        <f>"protein_coding"</f>
        <v>protein_coding</v>
      </c>
      <c r="J872" s="14"/>
    </row>
    <row r="873" spans="1:10" x14ac:dyDescent="0.2">
      <c r="A873" s="10" t="str">
        <f>"ENSG00000130958.13"</f>
        <v>ENSG00000130958.13</v>
      </c>
      <c r="B873" s="10">
        <v>1.22178777075916</v>
      </c>
      <c r="C873" s="10">
        <v>3.8927810914989398</v>
      </c>
      <c r="D873" s="10">
        <v>22.294723652515799</v>
      </c>
      <c r="E873" s="10">
        <v>1.4492507166692899E-3</v>
      </c>
      <c r="F873" s="10" t="str">
        <f>"SLC35D2"</f>
        <v>SLC35D2</v>
      </c>
      <c r="G873" s="10" t="str">
        <f>"protein_coding"</f>
        <v>protein_coding</v>
      </c>
      <c r="J873" s="14"/>
    </row>
    <row r="874" spans="1:10" x14ac:dyDescent="0.2">
      <c r="A874" s="10" t="str">
        <f>"ENSG00000136943.11"</f>
        <v>ENSG00000136943.11</v>
      </c>
      <c r="B874" s="10">
        <v>-1.66905242831287</v>
      </c>
      <c r="C874" s="10">
        <v>5.2367084534470898</v>
      </c>
      <c r="D874" s="10">
        <v>51.465940463018597</v>
      </c>
      <c r="E874" s="13">
        <v>8.9188460407436799E-5</v>
      </c>
      <c r="F874" s="10" t="str">
        <f>"CTSV"</f>
        <v>CTSV</v>
      </c>
      <c r="G874" s="10" t="str">
        <f>"protein_coding"</f>
        <v>protein_coding</v>
      </c>
      <c r="J874" s="14"/>
    </row>
    <row r="875" spans="1:10" x14ac:dyDescent="0.2">
      <c r="A875" s="10" t="str">
        <f>"ENSG00000228376.3"</f>
        <v>ENSG00000228376.3</v>
      </c>
      <c r="B875" s="10">
        <v>-2.5732908570891899</v>
      </c>
      <c r="C875" s="10">
        <v>-1.94106119563216</v>
      </c>
      <c r="D875" s="10">
        <v>6.7474662609534697</v>
      </c>
      <c r="E875" s="10">
        <v>3.1414596014796403E-2</v>
      </c>
      <c r="F875" s="10" t="str">
        <f>"GAS2L1P2"</f>
        <v>GAS2L1P2</v>
      </c>
      <c r="G875" s="10" t="str">
        <f>"transcribed_processed_pseudogene"</f>
        <v>transcribed_processed_pseudogene</v>
      </c>
      <c r="J875" s="14"/>
    </row>
    <row r="876" spans="1:10" x14ac:dyDescent="0.2">
      <c r="A876" s="10" t="str">
        <f>"ENSG00000106789.13"</f>
        <v>ENSG00000106789.13</v>
      </c>
      <c r="B876" s="10">
        <v>-1.04627597078162</v>
      </c>
      <c r="C876" s="10">
        <v>5.0768047230146296</v>
      </c>
      <c r="D876" s="10">
        <v>10.5019885454365</v>
      </c>
      <c r="E876" s="10">
        <v>1.1670348807208001E-2</v>
      </c>
      <c r="F876" s="10" t="str">
        <f>"CORO2A"</f>
        <v>CORO2A</v>
      </c>
      <c r="G876" s="10" t="str">
        <f t="shared" ref="G876:G881" si="30">"protein_coding"</f>
        <v>protein_coding</v>
      </c>
      <c r="J876" s="14"/>
    </row>
    <row r="877" spans="1:10" x14ac:dyDescent="0.2">
      <c r="A877" s="10" t="str">
        <f>"ENSG00000241697.5"</f>
        <v>ENSG00000241697.5</v>
      </c>
      <c r="B877" s="10">
        <v>-2.7695735151394798</v>
      </c>
      <c r="C877" s="10">
        <v>-4.8028960732855702E-2</v>
      </c>
      <c r="D877" s="10">
        <v>50.648967667479099</v>
      </c>
      <c r="E877" s="13">
        <v>8.6846652754670196E-5</v>
      </c>
      <c r="F877" s="10" t="str">
        <f>"TMEFF1"</f>
        <v>TMEFF1</v>
      </c>
      <c r="G877" s="10" t="str">
        <f t="shared" si="30"/>
        <v>protein_coding</v>
      </c>
      <c r="J877" s="14"/>
    </row>
    <row r="878" spans="1:10" x14ac:dyDescent="0.2">
      <c r="A878" s="10" t="str">
        <f>"ENSG00000170681.6"</f>
        <v>ENSG00000170681.6</v>
      </c>
      <c r="B878" s="10">
        <v>-2.76493901876538</v>
      </c>
      <c r="C878" s="10">
        <v>-0.31766873614859398</v>
      </c>
      <c r="D878" s="10">
        <v>14.3988317981565</v>
      </c>
      <c r="E878" s="10">
        <v>5.15853669074255E-3</v>
      </c>
      <c r="F878" s="10" t="str">
        <f>"CAVIN4"</f>
        <v>CAVIN4</v>
      </c>
      <c r="G878" s="10" t="str">
        <f t="shared" si="30"/>
        <v>protein_coding</v>
      </c>
      <c r="J878" s="14"/>
    </row>
    <row r="879" spans="1:10" x14ac:dyDescent="0.2">
      <c r="A879" s="10" t="str">
        <f>"ENSG00000148123.15"</f>
        <v>ENSG00000148123.15</v>
      </c>
      <c r="B879" s="10">
        <v>2.6765386265281901</v>
      </c>
      <c r="C879" s="10">
        <v>2.8242772135146601</v>
      </c>
      <c r="D879" s="10">
        <v>8.4280516894186697</v>
      </c>
      <c r="E879" s="10">
        <v>1.9539385437494901E-2</v>
      </c>
      <c r="F879" s="10" t="str">
        <f>"PLPPR1"</f>
        <v>PLPPR1</v>
      </c>
      <c r="G879" s="10" t="str">
        <f t="shared" si="30"/>
        <v>protein_coding</v>
      </c>
      <c r="J879" s="14"/>
    </row>
    <row r="880" spans="1:10" x14ac:dyDescent="0.2">
      <c r="A880" s="10" t="str">
        <f>"ENSG00000188959.9"</f>
        <v>ENSG00000188959.9</v>
      </c>
      <c r="B880" s="10">
        <v>1.5523682844512099</v>
      </c>
      <c r="C880" s="10">
        <v>-0.35987660561046603</v>
      </c>
      <c r="D880" s="10">
        <v>10.916269670731801</v>
      </c>
      <c r="E880" s="10">
        <v>1.0609805150051201E-2</v>
      </c>
      <c r="F880" s="10" t="str">
        <f>"C9orf152"</f>
        <v>C9orf152</v>
      </c>
      <c r="G880" s="10" t="str">
        <f t="shared" si="30"/>
        <v>protein_coding</v>
      </c>
      <c r="J880" s="14"/>
    </row>
    <row r="881" spans="1:10" x14ac:dyDescent="0.2">
      <c r="A881" s="10" t="str">
        <f>"ENSG00000165124.18"</f>
        <v>ENSG00000165124.18</v>
      </c>
      <c r="B881" s="10">
        <v>-1.58829902385565</v>
      </c>
      <c r="C881" s="10">
        <v>1.08045346709295</v>
      </c>
      <c r="D881" s="10">
        <v>6.9451181993192099</v>
      </c>
      <c r="E881" s="10">
        <v>2.9614363208290799E-2</v>
      </c>
      <c r="F881" s="10" t="str">
        <f>"SVEP1"</f>
        <v>SVEP1</v>
      </c>
      <c r="G881" s="10" t="str">
        <f t="shared" si="30"/>
        <v>protein_coding</v>
      </c>
      <c r="J881" s="14"/>
    </row>
    <row r="882" spans="1:10" x14ac:dyDescent="0.2">
      <c r="A882" s="10" t="str">
        <f>"ENSG00000228623.6"</f>
        <v>ENSG00000228623.6</v>
      </c>
      <c r="B882" s="10">
        <v>1.3013097755408001</v>
      </c>
      <c r="C882" s="10">
        <v>-5.0564915039307601E-2</v>
      </c>
      <c r="D882" s="10">
        <v>8.7410664862908902</v>
      </c>
      <c r="E882" s="10">
        <v>1.7995638726090502E-2</v>
      </c>
      <c r="F882" s="10" t="str">
        <f>"ZNF883"</f>
        <v>ZNF883</v>
      </c>
      <c r="G882" s="10" t="str">
        <f>"transcribed_unprocessed_pseudogene"</f>
        <v>transcribed_unprocessed_pseudogene</v>
      </c>
      <c r="J882" s="14"/>
    </row>
    <row r="883" spans="1:10" x14ac:dyDescent="0.2">
      <c r="A883" s="10" t="str">
        <f>"ENSG00000138835.22"</f>
        <v>ENSG00000138835.22</v>
      </c>
      <c r="B883" s="10">
        <v>1.14643474374027</v>
      </c>
      <c r="C883" s="10">
        <v>4.0125165188564802</v>
      </c>
      <c r="D883" s="10">
        <v>26.1271719407634</v>
      </c>
      <c r="E883" s="10">
        <v>8.5688529615038204E-4</v>
      </c>
      <c r="F883" s="10" t="str">
        <f>"RGS3"</f>
        <v>RGS3</v>
      </c>
      <c r="G883" s="10" t="str">
        <f t="shared" ref="G883:G888" si="31">"protein_coding"</f>
        <v>protein_coding</v>
      </c>
      <c r="J883" s="14"/>
    </row>
    <row r="884" spans="1:10" x14ac:dyDescent="0.2">
      <c r="A884" s="10" t="str">
        <f>"ENSG00000136883.14"</f>
        <v>ENSG00000136883.14</v>
      </c>
      <c r="B884" s="10">
        <v>1.29681729704501</v>
      </c>
      <c r="C884" s="10">
        <v>2.2912779364468001</v>
      </c>
      <c r="D884" s="10">
        <v>16.699172628291699</v>
      </c>
      <c r="E884" s="10">
        <v>3.4123193000617298E-3</v>
      </c>
      <c r="F884" s="10" t="str">
        <f>"KIF12"</f>
        <v>KIF12</v>
      </c>
      <c r="G884" s="10" t="str">
        <f t="shared" si="31"/>
        <v>protein_coding</v>
      </c>
      <c r="J884" s="14"/>
    </row>
    <row r="885" spans="1:10" x14ac:dyDescent="0.2">
      <c r="A885" s="10" t="str">
        <f>"ENSG00000095397.14"</f>
        <v>ENSG00000095397.14</v>
      </c>
      <c r="B885" s="10">
        <v>-1.1864607129156799</v>
      </c>
      <c r="C885" s="10">
        <v>5.7776376873105697</v>
      </c>
      <c r="D885" s="10">
        <v>8.9290441783163192</v>
      </c>
      <c r="E885" s="10">
        <v>1.7142003171012301E-2</v>
      </c>
      <c r="F885" s="10" t="str">
        <f>"WHRN"</f>
        <v>WHRN</v>
      </c>
      <c r="G885" s="10" t="str">
        <f t="shared" si="31"/>
        <v>protein_coding</v>
      </c>
      <c r="J885" s="14"/>
    </row>
    <row r="886" spans="1:10" x14ac:dyDescent="0.2">
      <c r="A886" s="10" t="str">
        <f>"ENSG00000182752.10"</f>
        <v>ENSG00000182752.10</v>
      </c>
      <c r="B886" s="10">
        <v>-1.32297777603898</v>
      </c>
      <c r="C886" s="10">
        <v>2.0131754406573501</v>
      </c>
      <c r="D886" s="10">
        <v>16.967825639497001</v>
      </c>
      <c r="E886" s="10">
        <v>3.2602603113419601E-3</v>
      </c>
      <c r="F886" s="10" t="str">
        <f>"PAPPA"</f>
        <v>PAPPA</v>
      </c>
      <c r="G886" s="10" t="str">
        <f t="shared" si="31"/>
        <v>protein_coding</v>
      </c>
      <c r="J886" s="14"/>
    </row>
    <row r="887" spans="1:10" x14ac:dyDescent="0.2">
      <c r="A887" s="10" t="str">
        <f>"ENSG00000056558.11"</f>
        <v>ENSG00000056558.11</v>
      </c>
      <c r="B887" s="10">
        <v>-1.2411980067852399</v>
      </c>
      <c r="C887" s="10">
        <v>1.21838817707283</v>
      </c>
      <c r="D887" s="10">
        <v>19.008230060511401</v>
      </c>
      <c r="E887" s="10">
        <v>2.2512714813968E-3</v>
      </c>
      <c r="F887" s="10" t="str">
        <f>"TRAF1"</f>
        <v>TRAF1</v>
      </c>
      <c r="G887" s="10" t="str">
        <f t="shared" si="31"/>
        <v>protein_coding</v>
      </c>
      <c r="J887" s="14"/>
    </row>
    <row r="888" spans="1:10" x14ac:dyDescent="0.2">
      <c r="A888" s="10" t="str">
        <f>"ENSG00000185585.20"</f>
        <v>ENSG00000185585.20</v>
      </c>
      <c r="B888" s="10">
        <v>-2.0667993769680302</v>
      </c>
      <c r="C888" s="10">
        <v>2.9641142758496599</v>
      </c>
      <c r="D888" s="10">
        <v>7.44944036355432</v>
      </c>
      <c r="E888" s="10">
        <v>2.55774981171745E-2</v>
      </c>
      <c r="F888" s="10" t="str">
        <f>"OLFML2A"</f>
        <v>OLFML2A</v>
      </c>
      <c r="G888" s="10" t="str">
        <f t="shared" si="31"/>
        <v>protein_coding</v>
      </c>
      <c r="J888" s="14"/>
    </row>
    <row r="889" spans="1:10" x14ac:dyDescent="0.2">
      <c r="A889" s="10" t="str">
        <f>"ENSG00000271833.1"</f>
        <v>ENSG00000271833.1</v>
      </c>
      <c r="B889" s="10">
        <v>-1.2164893359776601</v>
      </c>
      <c r="C889" s="10">
        <v>-0.61423122162139199</v>
      </c>
      <c r="D889" s="10">
        <v>6.9075419701238703</v>
      </c>
      <c r="E889" s="10">
        <v>2.9523334260301199E-2</v>
      </c>
      <c r="F889" s="10" t="str">
        <f>"AL445222.1"</f>
        <v>AL445222.1</v>
      </c>
      <c r="G889" s="10" t="str">
        <f>"sense_intronic"</f>
        <v>sense_intronic</v>
      </c>
      <c r="J889" s="14"/>
    </row>
    <row r="890" spans="1:10" x14ac:dyDescent="0.2">
      <c r="A890" s="10" t="str">
        <f>"ENSG00000136854.21"</f>
        <v>ENSG00000136854.21</v>
      </c>
      <c r="B890" s="10">
        <v>-1.32191932661385</v>
      </c>
      <c r="C890" s="10">
        <v>3.61750578651441</v>
      </c>
      <c r="D890" s="10">
        <v>11.8916252180488</v>
      </c>
      <c r="E890" s="10">
        <v>8.5522513825898594E-3</v>
      </c>
      <c r="F890" s="10" t="str">
        <f>"STXBP1"</f>
        <v>STXBP1</v>
      </c>
      <c r="G890" s="10" t="str">
        <f t="shared" ref="G890:G901" si="32">"protein_coding"</f>
        <v>protein_coding</v>
      </c>
      <c r="J890" s="14"/>
    </row>
    <row r="891" spans="1:10" x14ac:dyDescent="0.2">
      <c r="A891" s="10" t="str">
        <f>"ENSG00000167103.12"</f>
        <v>ENSG00000167103.12</v>
      </c>
      <c r="B891" s="10">
        <v>-2.2234957372488902</v>
      </c>
      <c r="C891" s="10">
        <v>0.11215886645871299</v>
      </c>
      <c r="D891" s="10">
        <v>7.3418401676692602</v>
      </c>
      <c r="E891" s="10">
        <v>2.63774561395222E-2</v>
      </c>
      <c r="F891" s="10" t="str">
        <f>"PIP5KL1"</f>
        <v>PIP5KL1</v>
      </c>
      <c r="G891" s="10" t="str">
        <f t="shared" si="32"/>
        <v>protein_coding</v>
      </c>
      <c r="J891" s="14"/>
    </row>
    <row r="892" spans="1:10" x14ac:dyDescent="0.2">
      <c r="A892" s="10" t="str">
        <f>"ENSG00000148346.12"</f>
        <v>ENSG00000148346.12</v>
      </c>
      <c r="B892" s="10">
        <v>1.79073276864182</v>
      </c>
      <c r="C892" s="10">
        <v>-1.27604954949382</v>
      </c>
      <c r="D892" s="10">
        <v>7.3026286960564102</v>
      </c>
      <c r="E892" s="10">
        <v>2.6676811762716499E-2</v>
      </c>
      <c r="F892" s="10" t="str">
        <f>"LCN2"</f>
        <v>LCN2</v>
      </c>
      <c r="G892" s="10" t="str">
        <f t="shared" si="32"/>
        <v>protein_coding</v>
      </c>
      <c r="J892" s="14"/>
    </row>
    <row r="893" spans="1:10" x14ac:dyDescent="0.2">
      <c r="A893" s="10" t="str">
        <f>"ENSG00000106976.20"</f>
        <v>ENSG00000106976.20</v>
      </c>
      <c r="B893" s="10">
        <v>1.3201114025513401</v>
      </c>
      <c r="C893" s="10">
        <v>1.66625486383794</v>
      </c>
      <c r="D893" s="10">
        <v>18.431591578424499</v>
      </c>
      <c r="E893" s="10">
        <v>2.4994198015405602E-3</v>
      </c>
      <c r="F893" s="10" t="str">
        <f>"DNM1"</f>
        <v>DNM1</v>
      </c>
      <c r="G893" s="10" t="str">
        <f t="shared" si="32"/>
        <v>protein_coding</v>
      </c>
      <c r="J893" s="14"/>
    </row>
    <row r="894" spans="1:10" x14ac:dyDescent="0.2">
      <c r="A894" s="10" t="str">
        <f>"ENSG00000148357.16"</f>
        <v>ENSG00000148357.16</v>
      </c>
      <c r="B894" s="10">
        <v>-1.88027704107005</v>
      </c>
      <c r="C894" s="10">
        <v>0.37575452021597899</v>
      </c>
      <c r="D894" s="10">
        <v>6.5743283624855202</v>
      </c>
      <c r="E894" s="10">
        <v>3.3106668893855197E-2</v>
      </c>
      <c r="F894" s="10" t="str">
        <f>"HMCN2"</f>
        <v>HMCN2</v>
      </c>
      <c r="G894" s="10" t="str">
        <f t="shared" si="32"/>
        <v>protein_coding</v>
      </c>
      <c r="J894" s="14"/>
    </row>
    <row r="895" spans="1:10" x14ac:dyDescent="0.2">
      <c r="A895" s="10" t="str">
        <f>"ENSG00000196358.11"</f>
        <v>ENSG00000196358.11</v>
      </c>
      <c r="B895" s="10">
        <v>-1.8072935618112</v>
      </c>
      <c r="C895" s="10">
        <v>-0.75173460272812997</v>
      </c>
      <c r="D895" s="10">
        <v>8.0478938791749695</v>
      </c>
      <c r="E895" s="10">
        <v>2.16457444040777E-2</v>
      </c>
      <c r="F895" s="10" t="str">
        <f>"NTNG2"</f>
        <v>NTNG2</v>
      </c>
      <c r="G895" s="10" t="str">
        <f t="shared" si="32"/>
        <v>protein_coding</v>
      </c>
      <c r="J895" s="14"/>
    </row>
    <row r="896" spans="1:10" x14ac:dyDescent="0.2">
      <c r="A896" s="10" t="str">
        <f>"ENSG00000197859.10"</f>
        <v>ENSG00000197859.10</v>
      </c>
      <c r="B896" s="10">
        <v>1.6964367486614</v>
      </c>
      <c r="C896" s="10">
        <v>3.09540678225326</v>
      </c>
      <c r="D896" s="10">
        <v>37.763545989127302</v>
      </c>
      <c r="E896" s="10">
        <v>2.6196362372635598E-4</v>
      </c>
      <c r="F896" s="10" t="str">
        <f>"ADAMTSL2"</f>
        <v>ADAMTSL2</v>
      </c>
      <c r="G896" s="10" t="str">
        <f t="shared" si="32"/>
        <v>protein_coding</v>
      </c>
      <c r="J896" s="14"/>
    </row>
    <row r="897" spans="1:10" x14ac:dyDescent="0.2">
      <c r="A897" s="10" t="str">
        <f>"ENSG00000197191.5"</f>
        <v>ENSG00000197191.5</v>
      </c>
      <c r="B897" s="10">
        <v>-1.08945450032842</v>
      </c>
      <c r="C897" s="10">
        <v>5.17493032713422</v>
      </c>
      <c r="D897" s="10">
        <v>10.9468407542302</v>
      </c>
      <c r="E897" s="10">
        <v>1.05364314653257E-2</v>
      </c>
      <c r="F897" s="10" t="str">
        <f>"CYSRT1"</f>
        <v>CYSRT1</v>
      </c>
      <c r="G897" s="10" t="str">
        <f t="shared" si="32"/>
        <v>protein_coding</v>
      </c>
      <c r="J897" s="14"/>
    </row>
    <row r="898" spans="1:10" x14ac:dyDescent="0.2">
      <c r="A898" s="10" t="str">
        <f>"ENSG00000233198.3"</f>
        <v>ENSG00000233198.3</v>
      </c>
      <c r="B898" s="10">
        <v>-1.33289607994452</v>
      </c>
      <c r="C898" s="10">
        <v>1.02000526225366</v>
      </c>
      <c r="D898" s="10">
        <v>11.992671358775899</v>
      </c>
      <c r="E898" s="10">
        <v>8.3688810163197094E-3</v>
      </c>
      <c r="F898" s="10" t="str">
        <f>"RNF224"</f>
        <v>RNF224</v>
      </c>
      <c r="G898" s="10" t="str">
        <f t="shared" si="32"/>
        <v>protein_coding</v>
      </c>
      <c r="J898" s="14"/>
    </row>
    <row r="899" spans="1:10" x14ac:dyDescent="0.2">
      <c r="A899" s="10" t="str">
        <f>"ENSG00000198569.9"</f>
        <v>ENSG00000198569.9</v>
      </c>
      <c r="B899" s="10">
        <v>-1.1963525964833699</v>
      </c>
      <c r="C899" s="10">
        <v>1.81121826682618</v>
      </c>
      <c r="D899" s="10">
        <v>9.88448552492234</v>
      </c>
      <c r="E899" s="10">
        <v>1.35110089040495E-2</v>
      </c>
      <c r="F899" s="10" t="str">
        <f>"SLC34A3"</f>
        <v>SLC34A3</v>
      </c>
      <c r="G899" s="10" t="str">
        <f t="shared" si="32"/>
        <v>protein_coding</v>
      </c>
      <c r="J899" s="14"/>
    </row>
    <row r="900" spans="1:10" x14ac:dyDescent="0.2">
      <c r="A900" s="10" t="str">
        <f>"ENSG00000198435.4"</f>
        <v>ENSG00000198435.4</v>
      </c>
      <c r="B900" s="10">
        <v>-1.07794730514601</v>
      </c>
      <c r="C900" s="10">
        <v>3.2514848895728599</v>
      </c>
      <c r="D900" s="10">
        <v>21.7244341206626</v>
      </c>
      <c r="E900" s="10">
        <v>1.4999430654047199E-3</v>
      </c>
      <c r="F900" s="10" t="str">
        <f>"NRARP"</f>
        <v>NRARP</v>
      </c>
      <c r="G900" s="10" t="str">
        <f t="shared" si="32"/>
        <v>protein_coding</v>
      </c>
      <c r="J900" s="14"/>
    </row>
    <row r="901" spans="1:10" x14ac:dyDescent="0.2">
      <c r="A901" s="10" t="str">
        <f>"ENSG00000067057.17"</f>
        <v>ENSG00000067057.17</v>
      </c>
      <c r="B901" s="10">
        <v>1.1068931815042999</v>
      </c>
      <c r="C901" s="10">
        <v>3.2400002391705298</v>
      </c>
      <c r="D901" s="10">
        <v>9.4345271922769296</v>
      </c>
      <c r="E901" s="10">
        <v>1.50863540985736E-2</v>
      </c>
      <c r="F901" s="10" t="str">
        <f>"PFKP"</f>
        <v>PFKP</v>
      </c>
      <c r="G901" s="10" t="str">
        <f t="shared" si="32"/>
        <v>protein_coding</v>
      </c>
      <c r="J901" s="14"/>
    </row>
    <row r="902" spans="1:10" x14ac:dyDescent="0.2">
      <c r="A902" s="10" t="str">
        <f>"ENSG00000215267.8"</f>
        <v>ENSG00000215267.8</v>
      </c>
      <c r="B902" s="10">
        <v>1.63435967016198</v>
      </c>
      <c r="C902" s="10">
        <v>-1.4877749715537001</v>
      </c>
      <c r="D902" s="10">
        <v>6.1569955696039704</v>
      </c>
      <c r="E902" s="10">
        <v>3.7381139484842098E-2</v>
      </c>
      <c r="F902" s="10" t="str">
        <f>"AKR1C7P"</f>
        <v>AKR1C7P</v>
      </c>
      <c r="G902" s="10" t="str">
        <f>"transcribed_unprocessed_pseudogene"</f>
        <v>transcribed_unprocessed_pseudogene</v>
      </c>
      <c r="J902" s="14"/>
    </row>
    <row r="903" spans="1:10" x14ac:dyDescent="0.2">
      <c r="A903" s="10" t="str">
        <f>"ENSG00000231483.1"</f>
        <v>ENSG00000231483.1</v>
      </c>
      <c r="B903" s="10">
        <v>2.7548627581095202</v>
      </c>
      <c r="C903" s="10">
        <v>-1.6370413067757901</v>
      </c>
      <c r="D903" s="10">
        <v>7.9344702537934504</v>
      </c>
      <c r="E903" s="10">
        <v>2.2329059617141E-2</v>
      </c>
      <c r="F903" s="10" t="str">
        <f>"AL365356.4"</f>
        <v>AL365356.4</v>
      </c>
      <c r="G903" s="10" t="str">
        <f>"lincRNA"</f>
        <v>lincRNA</v>
      </c>
      <c r="J903" s="14"/>
    </row>
    <row r="904" spans="1:10" x14ac:dyDescent="0.2">
      <c r="A904" s="10" t="str">
        <f>"ENSG00000134461.16"</f>
        <v>ENSG00000134461.16</v>
      </c>
      <c r="B904" s="10">
        <v>-1.0480128531145401</v>
      </c>
      <c r="C904" s="10">
        <v>2.5656882446855498</v>
      </c>
      <c r="D904" s="10">
        <v>22.043540470116199</v>
      </c>
      <c r="E904" s="10">
        <v>1.43371692129645E-3</v>
      </c>
      <c r="F904" s="10" t="str">
        <f>"ANKRD16"</f>
        <v>ANKRD16</v>
      </c>
      <c r="G904" s="10" t="str">
        <f>"protein_coding"</f>
        <v>protein_coding</v>
      </c>
      <c r="J904" s="14"/>
    </row>
    <row r="905" spans="1:10" x14ac:dyDescent="0.2">
      <c r="A905" s="10" t="str">
        <f>"ENSG00000134470.21"</f>
        <v>ENSG00000134470.21</v>
      </c>
      <c r="B905" s="10">
        <v>1.4508217667618499</v>
      </c>
      <c r="C905" s="10">
        <v>0.52087756805952101</v>
      </c>
      <c r="D905" s="10">
        <v>12.4723832089008</v>
      </c>
      <c r="E905" s="10">
        <v>7.5626022069337504E-3</v>
      </c>
      <c r="F905" s="10" t="str">
        <f>"IL15RA"</f>
        <v>IL15RA</v>
      </c>
      <c r="G905" s="10" t="str">
        <f>"protein_coding"</f>
        <v>protein_coding</v>
      </c>
      <c r="J905" s="14"/>
    </row>
    <row r="906" spans="1:10" x14ac:dyDescent="0.2">
      <c r="A906" s="10" t="str">
        <f>"ENSG00000107485.17"</f>
        <v>ENSG00000107485.17</v>
      </c>
      <c r="B906" s="10">
        <v>-2.70096626429874</v>
      </c>
      <c r="C906" s="10">
        <v>0.42020370640066401</v>
      </c>
      <c r="D906" s="10">
        <v>25.796568250361801</v>
      </c>
      <c r="E906" s="10">
        <v>9.1882707823586504E-4</v>
      </c>
      <c r="F906" s="10" t="str">
        <f>"GATA3"</f>
        <v>GATA3</v>
      </c>
      <c r="G906" s="10" t="str">
        <f>"protein_coding"</f>
        <v>protein_coding</v>
      </c>
      <c r="J906" s="14"/>
    </row>
    <row r="907" spans="1:10" x14ac:dyDescent="0.2">
      <c r="A907" s="10" t="str">
        <f>"ENSG00000197308.9"</f>
        <v>ENSG00000197308.9</v>
      </c>
      <c r="B907" s="10">
        <v>-3.6791450112131101</v>
      </c>
      <c r="C907" s="10">
        <v>-1.25760255660558</v>
      </c>
      <c r="D907" s="10">
        <v>16.243270413494301</v>
      </c>
      <c r="E907" s="10">
        <v>3.69123714710553E-3</v>
      </c>
      <c r="F907" s="10" t="str">
        <f>"GATA3-AS1"</f>
        <v>GATA3-AS1</v>
      </c>
      <c r="G907" s="10" t="str">
        <f>"lincRNA"</f>
        <v>lincRNA</v>
      </c>
      <c r="J907" s="14"/>
    </row>
    <row r="908" spans="1:10" x14ac:dyDescent="0.2">
      <c r="A908" s="10" t="str">
        <f>"ENSG00000151468.11"</f>
        <v>ENSG00000151468.11</v>
      </c>
      <c r="B908" s="10">
        <v>-2.6657848637388999</v>
      </c>
      <c r="C908" s="10">
        <v>2.9145559184213798</v>
      </c>
      <c r="D908" s="10">
        <v>12.821005529930201</v>
      </c>
      <c r="E908" s="10">
        <v>7.0370564796523203E-3</v>
      </c>
      <c r="F908" s="10" t="str">
        <f>"CCDC3"</f>
        <v>CCDC3</v>
      </c>
      <c r="G908" s="10" t="str">
        <f>"protein_coding"</f>
        <v>protein_coding</v>
      </c>
      <c r="J908" s="14"/>
    </row>
    <row r="909" spans="1:10" x14ac:dyDescent="0.2">
      <c r="A909" s="10" t="str">
        <f>"ENSG00000165985.10"</f>
        <v>ENSG00000165985.10</v>
      </c>
      <c r="B909" s="10">
        <v>-1.37032338884268</v>
      </c>
      <c r="C909" s="10">
        <v>2.0176040296189202</v>
      </c>
      <c r="D909" s="10">
        <v>7.01380973113036</v>
      </c>
      <c r="E909" s="10">
        <v>2.9019371022687899E-2</v>
      </c>
      <c r="F909" s="10" t="str">
        <f>"C1QL3"</f>
        <v>C1QL3</v>
      </c>
      <c r="G909" s="10" t="str">
        <f>"protein_coding"</f>
        <v>protein_coding</v>
      </c>
      <c r="J909" s="14"/>
    </row>
    <row r="910" spans="1:10" x14ac:dyDescent="0.2">
      <c r="A910" s="10" t="str">
        <f>"ENSG00000204682.6"</f>
        <v>ENSG00000204682.6</v>
      </c>
      <c r="B910" s="10">
        <v>-1.64724881933786</v>
      </c>
      <c r="C910" s="10">
        <v>3.4033906697669298</v>
      </c>
      <c r="D910" s="10">
        <v>44.192625101051597</v>
      </c>
      <c r="E910" s="10">
        <v>1.47985894387252E-4</v>
      </c>
      <c r="F910" s="10" t="str">
        <f>"CASC10"</f>
        <v>CASC10</v>
      </c>
      <c r="G910" s="10" t="str">
        <f>"protein_coding"</f>
        <v>protein_coding</v>
      </c>
      <c r="J910" s="14"/>
    </row>
    <row r="911" spans="1:10" x14ac:dyDescent="0.2">
      <c r="A911" s="10" t="str">
        <f>"ENSG00000222071.1"</f>
        <v>ENSG00000222071.1</v>
      </c>
      <c r="B911" s="10">
        <v>-1.91203257114546</v>
      </c>
      <c r="C911" s="10">
        <v>-1.3454698610285201</v>
      </c>
      <c r="D911" s="10">
        <v>8.5102275513302796</v>
      </c>
      <c r="E911" s="10">
        <v>1.8981932675418998E-2</v>
      </c>
      <c r="F911" s="10" t="str">
        <f>"MIR1915"</f>
        <v>MIR1915</v>
      </c>
      <c r="G911" s="10" t="str">
        <f>"miRNA"</f>
        <v>miRNA</v>
      </c>
      <c r="J911" s="14"/>
    </row>
    <row r="912" spans="1:10" x14ac:dyDescent="0.2">
      <c r="A912" s="10" t="str">
        <f>"ENSG00000180592.16"</f>
        <v>ENSG00000180592.16</v>
      </c>
      <c r="B912" s="10">
        <v>-1.3023501143970599</v>
      </c>
      <c r="C912" s="10">
        <v>-0.38669553292757802</v>
      </c>
      <c r="D912" s="10">
        <v>5.5323598764634898</v>
      </c>
      <c r="E912" s="10">
        <v>4.61542827199709E-2</v>
      </c>
      <c r="F912" s="10" t="str">
        <f>"SKIDA1"</f>
        <v>SKIDA1</v>
      </c>
      <c r="G912" s="10" t="str">
        <f>"protein_coding"</f>
        <v>protein_coding</v>
      </c>
      <c r="J912" s="14"/>
    </row>
    <row r="913" spans="1:10" x14ac:dyDescent="0.2">
      <c r="A913" s="10" t="str">
        <f>"ENSG00000283709.1"</f>
        <v>ENSG00000283709.1</v>
      </c>
      <c r="B913" s="10">
        <v>-1.4425338731139901</v>
      </c>
      <c r="C913" s="10">
        <v>-0.87277672584561095</v>
      </c>
      <c r="D913" s="10">
        <v>7.24408868415808</v>
      </c>
      <c r="E913" s="10">
        <v>2.6992945481143799E-2</v>
      </c>
      <c r="F913" s="10" t="str">
        <f>"FAM238C"</f>
        <v>FAM238C</v>
      </c>
      <c r="G913" s="10" t="str">
        <f>"transcribed_unprocessed_pseudogene"</f>
        <v>transcribed_unprocessed_pseudogene</v>
      </c>
      <c r="J913" s="14"/>
    </row>
    <row r="914" spans="1:10" x14ac:dyDescent="0.2">
      <c r="A914" s="10" t="str">
        <f>"ENSG00000230445.4"</f>
        <v>ENSG00000230445.4</v>
      </c>
      <c r="B914" s="10">
        <v>-1.95486616195281</v>
      </c>
      <c r="C914" s="10">
        <v>-1.15741688045525</v>
      </c>
      <c r="D914" s="10">
        <v>10.0760289370773</v>
      </c>
      <c r="E914" s="10">
        <v>1.2796238207748599E-2</v>
      </c>
      <c r="F914" s="10" t="str">
        <f>"LRRC37A6P"</f>
        <v>LRRC37A6P</v>
      </c>
      <c r="G914" s="10" t="str">
        <f>"transcribed_processed_pseudogene"</f>
        <v>transcribed_processed_pseudogene</v>
      </c>
      <c r="J914" s="14"/>
    </row>
    <row r="915" spans="1:10" x14ac:dyDescent="0.2">
      <c r="A915" s="10" t="str">
        <f>"ENSG00000177283.7"</f>
        <v>ENSG00000177283.7</v>
      </c>
      <c r="B915" s="10">
        <v>-1.8969827813965701</v>
      </c>
      <c r="C915" s="10">
        <v>1.4670337419949799</v>
      </c>
      <c r="D915" s="10">
        <v>31.600230664952601</v>
      </c>
      <c r="E915" s="10">
        <v>4.6806068245115799E-4</v>
      </c>
      <c r="F915" s="10" t="str">
        <f>"FZD8"</f>
        <v>FZD8</v>
      </c>
      <c r="G915" s="10" t="str">
        <f>"protein_coding"</f>
        <v>protein_coding</v>
      </c>
      <c r="J915" s="14"/>
    </row>
    <row r="916" spans="1:10" x14ac:dyDescent="0.2">
      <c r="A916" s="10" t="str">
        <f>"ENSG00000185904.11"</f>
        <v>ENSG00000185904.11</v>
      </c>
      <c r="B916" s="10">
        <v>-1.5333780256010301</v>
      </c>
      <c r="C916" s="10">
        <v>-1.4042214702486699</v>
      </c>
      <c r="D916" s="10">
        <v>6.1150382564293899</v>
      </c>
      <c r="E916" s="10">
        <v>3.7720808571159899E-2</v>
      </c>
      <c r="F916" s="10" t="str">
        <f>"LINC00839"</f>
        <v>LINC00839</v>
      </c>
      <c r="G916" s="10" t="str">
        <f>"lincRNA"</f>
        <v>lincRNA</v>
      </c>
      <c r="J916" s="14"/>
    </row>
    <row r="917" spans="1:10" x14ac:dyDescent="0.2">
      <c r="A917" s="10" t="str">
        <f>"ENSG00000259869.2"</f>
        <v>ENSG00000259869.2</v>
      </c>
      <c r="B917" s="10">
        <v>-1.9414521485303</v>
      </c>
      <c r="C917" s="10">
        <v>-1.7064530100537401</v>
      </c>
      <c r="D917" s="10">
        <v>5.7902453460068601</v>
      </c>
      <c r="E917" s="10">
        <v>4.2391734730114997E-2</v>
      </c>
      <c r="F917" s="10" t="str">
        <f>"AL022344.1"</f>
        <v>AL022344.1</v>
      </c>
      <c r="G917" s="10" t="str">
        <f>"lincRNA"</f>
        <v>lincRNA</v>
      </c>
      <c r="J917" s="14"/>
    </row>
    <row r="918" spans="1:10" x14ac:dyDescent="0.2">
      <c r="A918" s="10" t="str">
        <f>"ENSG00000165731.19"</f>
        <v>ENSG00000165731.19</v>
      </c>
      <c r="B918" s="10">
        <v>-1.92483901074191</v>
      </c>
      <c r="C918" s="10">
        <v>0.319253837939864</v>
      </c>
      <c r="D918" s="10">
        <v>10.140817120986901</v>
      </c>
      <c r="E918" s="10">
        <v>1.27056071468113E-2</v>
      </c>
      <c r="F918" s="10" t="str">
        <f>"RET"</f>
        <v>RET</v>
      </c>
      <c r="G918" s="10" t="str">
        <f>"protein_coding"</f>
        <v>protein_coding</v>
      </c>
      <c r="J918" s="14"/>
    </row>
    <row r="919" spans="1:10" x14ac:dyDescent="0.2">
      <c r="A919" s="10" t="str">
        <f>"ENSG00000237590.1"</f>
        <v>ENSG00000237590.1</v>
      </c>
      <c r="B919" s="10">
        <v>2.9893771785743799</v>
      </c>
      <c r="C919" s="10">
        <v>-1.22036316890814</v>
      </c>
      <c r="D919" s="10">
        <v>7.91258732743559</v>
      </c>
      <c r="E919" s="10">
        <v>2.2464006229583399E-2</v>
      </c>
      <c r="F919" s="10" t="str">
        <f>"AL137026.2"</f>
        <v>AL137026.2</v>
      </c>
      <c r="G919" s="10" t="str">
        <f>"lincRNA"</f>
        <v>lincRNA</v>
      </c>
      <c r="J919" s="14"/>
    </row>
    <row r="920" spans="1:10" x14ac:dyDescent="0.2">
      <c r="A920" s="10" t="str">
        <f>"ENSG00000165507.8"</f>
        <v>ENSG00000165507.8</v>
      </c>
      <c r="B920" s="10">
        <v>1.45454294032257</v>
      </c>
      <c r="C920" s="10">
        <v>5.8279451563593998</v>
      </c>
      <c r="D920" s="10">
        <v>16.251573709605999</v>
      </c>
      <c r="E920" s="10">
        <v>3.68590753460175E-3</v>
      </c>
      <c r="F920" s="10" t="str">
        <f>"DEPP1"</f>
        <v>DEPP1</v>
      </c>
      <c r="G920" s="10" t="str">
        <f>"protein_coding"</f>
        <v>protein_coding</v>
      </c>
      <c r="J920" s="14"/>
    </row>
    <row r="921" spans="1:10" x14ac:dyDescent="0.2">
      <c r="A921" s="10" t="str">
        <f>"ENSG00000150175.13"</f>
        <v>ENSG00000150175.13</v>
      </c>
      <c r="B921" s="10">
        <v>-1.3780367619987199</v>
      </c>
      <c r="C921" s="10">
        <v>0.59050364644361697</v>
      </c>
      <c r="D921" s="10">
        <v>11.2611621899316</v>
      </c>
      <c r="E921" s="10">
        <v>9.8177262240571501E-3</v>
      </c>
      <c r="F921" s="10" t="str">
        <f>"FRMPD2B"</f>
        <v>FRMPD2B</v>
      </c>
      <c r="G921" s="10" t="str">
        <f>"unprocessed_pseudogene"</f>
        <v>unprocessed_pseudogene</v>
      </c>
      <c r="J921" s="14"/>
    </row>
    <row r="922" spans="1:10" x14ac:dyDescent="0.2">
      <c r="A922" s="10" t="str">
        <f>"ENSG00000264404.2"</f>
        <v>ENSG00000264404.2</v>
      </c>
      <c r="B922" s="10">
        <v>1.28006825511367</v>
      </c>
      <c r="C922" s="10">
        <v>-0.65448376224563398</v>
      </c>
      <c r="D922" s="10">
        <v>7.11787189475515</v>
      </c>
      <c r="E922" s="10">
        <v>2.7904729786902099E-2</v>
      </c>
      <c r="F922" s="10" t="str">
        <f>"BX547991.1"</f>
        <v>BX547991.1</v>
      </c>
      <c r="G922" s="10" t="str">
        <f>"lincRNA"</f>
        <v>lincRNA</v>
      </c>
      <c r="J922" s="14"/>
    </row>
    <row r="923" spans="1:10" x14ac:dyDescent="0.2">
      <c r="A923" s="10" t="str">
        <f>"ENSG00000128805.14"</f>
        <v>ENSG00000128805.14</v>
      </c>
      <c r="B923" s="10">
        <v>-1.41741498467491</v>
      </c>
      <c r="C923" s="10">
        <v>2.0531410785494701</v>
      </c>
      <c r="D923" s="10">
        <v>10.512014082402899</v>
      </c>
      <c r="E923" s="10">
        <v>1.1643152127274599E-2</v>
      </c>
      <c r="F923" s="10" t="str">
        <f>"ARHGAP22"</f>
        <v>ARHGAP22</v>
      </c>
      <c r="G923" s="10" t="str">
        <f t="shared" ref="G923:G933" si="33">"protein_coding"</f>
        <v>protein_coding</v>
      </c>
      <c r="J923" s="14"/>
    </row>
    <row r="924" spans="1:10" x14ac:dyDescent="0.2">
      <c r="A924" s="10" t="str">
        <f>"ENSG00000165471.6"</f>
        <v>ENSG00000165471.6</v>
      </c>
      <c r="B924" s="10">
        <v>1.6756571075222</v>
      </c>
      <c r="C924" s="10">
        <v>5.1113493661685201</v>
      </c>
      <c r="D924" s="10">
        <v>20.690112655891902</v>
      </c>
      <c r="E924" s="10">
        <v>1.81935728210257E-3</v>
      </c>
      <c r="F924" s="10" t="str">
        <f>"MBL2"</f>
        <v>MBL2</v>
      </c>
      <c r="G924" s="10" t="str">
        <f t="shared" si="33"/>
        <v>protein_coding</v>
      </c>
      <c r="J924" s="14"/>
    </row>
    <row r="925" spans="1:10" x14ac:dyDescent="0.2">
      <c r="A925" s="10" t="str">
        <f>"ENSG00000171988.19"</f>
        <v>ENSG00000171988.19</v>
      </c>
      <c r="B925" s="10">
        <v>1.36009442292394</v>
      </c>
      <c r="C925" s="10">
        <v>6.0096923684647798</v>
      </c>
      <c r="D925" s="10">
        <v>10.804546316373999</v>
      </c>
      <c r="E925" s="10">
        <v>1.0883466046442899E-2</v>
      </c>
      <c r="F925" s="10" t="str">
        <f>"JMJD1C"</f>
        <v>JMJD1C</v>
      </c>
      <c r="G925" s="10" t="str">
        <f t="shared" si="33"/>
        <v>protein_coding</v>
      </c>
      <c r="J925" s="14"/>
    </row>
    <row r="926" spans="1:10" x14ac:dyDescent="0.2">
      <c r="A926" s="10" t="str">
        <f>"ENSG00000108176.15"</f>
        <v>ENSG00000108176.15</v>
      </c>
      <c r="B926" s="10">
        <v>2.6637583508399101</v>
      </c>
      <c r="C926" s="10">
        <v>1.4674452155053099</v>
      </c>
      <c r="D926" s="10">
        <v>5.7780987476068697</v>
      </c>
      <c r="E926" s="10">
        <v>4.2560011633173397E-2</v>
      </c>
      <c r="F926" s="10" t="str">
        <f>"DNAJC12"</f>
        <v>DNAJC12</v>
      </c>
      <c r="G926" s="10" t="str">
        <f t="shared" si="33"/>
        <v>protein_coding</v>
      </c>
      <c r="J926" s="14"/>
    </row>
    <row r="927" spans="1:10" x14ac:dyDescent="0.2">
      <c r="A927" s="10" t="str">
        <f>"ENSG00000156510.13"</f>
        <v>ENSG00000156510.13</v>
      </c>
      <c r="B927" s="10">
        <v>1.6454395171502301</v>
      </c>
      <c r="C927" s="10">
        <v>4.4362385822255499</v>
      </c>
      <c r="D927" s="10">
        <v>61.217384468498601</v>
      </c>
      <c r="E927" s="13">
        <v>4.3583965674762098E-5</v>
      </c>
      <c r="F927" s="10" t="str">
        <f>"HKDC1"</f>
        <v>HKDC1</v>
      </c>
      <c r="G927" s="10" t="str">
        <f t="shared" si="33"/>
        <v>protein_coding</v>
      </c>
      <c r="J927" s="14"/>
    </row>
    <row r="928" spans="1:10" x14ac:dyDescent="0.2">
      <c r="A928" s="10" t="str">
        <f>"ENSG00000075073.14"</f>
        <v>ENSG00000075073.14</v>
      </c>
      <c r="B928" s="10">
        <v>-1.68586496099307</v>
      </c>
      <c r="C928" s="10">
        <v>-1.05654714308325</v>
      </c>
      <c r="D928" s="10">
        <v>8.2114572673946498</v>
      </c>
      <c r="E928" s="10">
        <v>2.0617896547946799E-2</v>
      </c>
      <c r="F928" s="10" t="str">
        <f>"TACR2"</f>
        <v>TACR2</v>
      </c>
      <c r="G928" s="10" t="str">
        <f t="shared" si="33"/>
        <v>protein_coding</v>
      </c>
      <c r="J928" s="14"/>
    </row>
    <row r="929" spans="1:10" x14ac:dyDescent="0.2">
      <c r="A929" s="10" t="str">
        <f>"ENSG00000171224.9"</f>
        <v>ENSG00000171224.9</v>
      </c>
      <c r="B929" s="10">
        <v>1.06985261116048</v>
      </c>
      <c r="C929" s="10">
        <v>1.7402191962784299</v>
      </c>
      <c r="D929" s="10">
        <v>10.0232761146454</v>
      </c>
      <c r="E929" s="10">
        <v>1.3067217501416E-2</v>
      </c>
      <c r="F929" s="10" t="str">
        <f>"FAM241B"</f>
        <v>FAM241B</v>
      </c>
      <c r="G929" s="10" t="str">
        <f t="shared" si="33"/>
        <v>protein_coding</v>
      </c>
      <c r="J929" s="14"/>
    </row>
    <row r="930" spans="1:10" x14ac:dyDescent="0.2">
      <c r="A930" s="10" t="str">
        <f>"ENSG00000107719.9"</f>
        <v>ENSG00000107719.9</v>
      </c>
      <c r="B930" s="10">
        <v>-1.5340727409791199</v>
      </c>
      <c r="C930" s="10">
        <v>0.42447519953032797</v>
      </c>
      <c r="D930" s="10">
        <v>10.038679463399699</v>
      </c>
      <c r="E930" s="10">
        <v>1.30191002911493E-2</v>
      </c>
      <c r="F930" s="10" t="str">
        <f>"PALD1"</f>
        <v>PALD1</v>
      </c>
      <c r="G930" s="10" t="str">
        <f t="shared" si="33"/>
        <v>protein_coding</v>
      </c>
      <c r="J930" s="14"/>
    </row>
    <row r="931" spans="1:10" x14ac:dyDescent="0.2">
      <c r="A931" s="10" t="str">
        <f>"ENSG00000138315.13"</f>
        <v>ENSG00000138315.13</v>
      </c>
      <c r="B931" s="10">
        <v>1.35334306823652</v>
      </c>
      <c r="C931" s="10">
        <v>0.717647046875031</v>
      </c>
      <c r="D931" s="10">
        <v>11.844911224405701</v>
      </c>
      <c r="E931" s="10">
        <v>8.6387259987573406E-3</v>
      </c>
      <c r="F931" s="10" t="str">
        <f>"OIT3"</f>
        <v>OIT3</v>
      </c>
      <c r="G931" s="10" t="str">
        <f t="shared" si="33"/>
        <v>protein_coding</v>
      </c>
      <c r="J931" s="14"/>
    </row>
    <row r="932" spans="1:10" x14ac:dyDescent="0.2">
      <c r="A932" s="10" t="str">
        <f>"ENSG00000138308.5"</f>
        <v>ENSG00000138308.5</v>
      </c>
      <c r="B932" s="10">
        <v>1.14967308800735</v>
      </c>
      <c r="C932" s="10">
        <v>2.5062583527998301</v>
      </c>
      <c r="D932" s="10">
        <v>10.1503508526504</v>
      </c>
      <c r="E932" s="10">
        <v>1.26768311588996E-2</v>
      </c>
      <c r="F932" s="10" t="str">
        <f>"PLA2G12B"</f>
        <v>PLA2G12B</v>
      </c>
      <c r="G932" s="10" t="str">
        <f t="shared" si="33"/>
        <v>protein_coding</v>
      </c>
      <c r="J932" s="14"/>
    </row>
    <row r="933" spans="1:10" x14ac:dyDescent="0.2">
      <c r="A933" s="10" t="str">
        <f>"ENSG00000133678.14"</f>
        <v>ENSG00000133678.14</v>
      </c>
      <c r="B933" s="10">
        <v>1.0986333525732701</v>
      </c>
      <c r="C933" s="10">
        <v>3.1664733876684501</v>
      </c>
      <c r="D933" s="10">
        <v>8.7607399434489501</v>
      </c>
      <c r="E933" s="10">
        <v>1.79038292799121E-2</v>
      </c>
      <c r="F933" s="10" t="str">
        <f>"TMEM254"</f>
        <v>TMEM254</v>
      </c>
      <c r="G933" s="10" t="str">
        <f t="shared" si="33"/>
        <v>protein_coding</v>
      </c>
      <c r="J933" s="14"/>
    </row>
    <row r="934" spans="1:10" x14ac:dyDescent="0.2">
      <c r="A934" s="10" t="str">
        <f>"ENSG00000270002.1"</f>
        <v>ENSG00000270002.1</v>
      </c>
      <c r="B934" s="10">
        <v>-1.5462790201127601</v>
      </c>
      <c r="C934" s="10">
        <v>-0.92292767428675304</v>
      </c>
      <c r="D934" s="10">
        <v>5.9405040431103497</v>
      </c>
      <c r="E934" s="10">
        <v>4.0378274449447603E-2</v>
      </c>
      <c r="F934" s="10" t="str">
        <f>"AC022028.2"</f>
        <v>AC022028.2</v>
      </c>
      <c r="G934" s="10" t="str">
        <f>"antisense"</f>
        <v>antisense</v>
      </c>
      <c r="J934" s="14"/>
    </row>
    <row r="935" spans="1:10" x14ac:dyDescent="0.2">
      <c r="A935" s="10" t="str">
        <f>"ENSG00000173267.14"</f>
        <v>ENSG00000173267.14</v>
      </c>
      <c r="B935" s="10">
        <v>1.3764671631868399</v>
      </c>
      <c r="C935" s="10">
        <v>1.7417405336252501</v>
      </c>
      <c r="D935" s="10">
        <v>12.904204621145199</v>
      </c>
      <c r="E935" s="10">
        <v>6.9184597063894002E-3</v>
      </c>
      <c r="F935" s="10" t="str">
        <f>"SNCG"</f>
        <v>SNCG</v>
      </c>
      <c r="G935" s="10" t="str">
        <f t="shared" ref="G935:G940" si="34">"protein_coding"</f>
        <v>protein_coding</v>
      </c>
      <c r="J935" s="14"/>
    </row>
    <row r="936" spans="1:10" x14ac:dyDescent="0.2">
      <c r="A936" s="10" t="str">
        <f>"ENSG00000198682.13"</f>
        <v>ENSG00000198682.13</v>
      </c>
      <c r="B936" s="10">
        <v>-1.10093484648441</v>
      </c>
      <c r="C936" s="10">
        <v>0.81854187891096097</v>
      </c>
      <c r="D936" s="10">
        <v>8.4969091288030008</v>
      </c>
      <c r="E936" s="10">
        <v>1.91859096631944E-2</v>
      </c>
      <c r="F936" s="10" t="str">
        <f>"PAPSS2"</f>
        <v>PAPSS2</v>
      </c>
      <c r="G936" s="10" t="str">
        <f t="shared" si="34"/>
        <v>protein_coding</v>
      </c>
      <c r="J936" s="14"/>
    </row>
    <row r="937" spans="1:10" x14ac:dyDescent="0.2">
      <c r="A937" s="10" t="str">
        <f>"ENSG00000227268.3"</f>
        <v>ENSG00000227268.3</v>
      </c>
      <c r="B937" s="10">
        <v>-1.08846998337776</v>
      </c>
      <c r="C937" s="10">
        <v>2.0993309209341402</v>
      </c>
      <c r="D937" s="10">
        <v>8.3886235856475402</v>
      </c>
      <c r="E937" s="10">
        <v>1.9745481988640901E-2</v>
      </c>
      <c r="F937" s="10" t="str">
        <f>"KLLN"</f>
        <v>KLLN</v>
      </c>
      <c r="G937" s="10" t="str">
        <f t="shared" si="34"/>
        <v>protein_coding</v>
      </c>
      <c r="J937" s="14"/>
    </row>
    <row r="938" spans="1:10" x14ac:dyDescent="0.2">
      <c r="A938" s="10" t="str">
        <f>"ENSG00000138134.12"</f>
        <v>ENSG00000138134.12</v>
      </c>
      <c r="B938" s="10">
        <v>2.6434992263741801</v>
      </c>
      <c r="C938" s="10">
        <v>1.01532600258126</v>
      </c>
      <c r="D938" s="10">
        <v>23.669547783639899</v>
      </c>
      <c r="E938" s="10">
        <v>1.2043380424126601E-3</v>
      </c>
      <c r="F938" s="10" t="str">
        <f>"STAMBPL1"</f>
        <v>STAMBPL1</v>
      </c>
      <c r="G938" s="10" t="str">
        <f t="shared" si="34"/>
        <v>protein_coding</v>
      </c>
      <c r="J938" s="14"/>
    </row>
    <row r="939" spans="1:10" x14ac:dyDescent="0.2">
      <c r="A939" s="10" t="str">
        <f>"ENSG00000119922.10"</f>
        <v>ENSG00000119922.10</v>
      </c>
      <c r="B939" s="10">
        <v>1.6045540359525801</v>
      </c>
      <c r="C939" s="10">
        <v>-1.1321493156425999</v>
      </c>
      <c r="D939" s="10">
        <v>9.5968428439008395</v>
      </c>
      <c r="E939" s="10">
        <v>1.4198284780558099E-2</v>
      </c>
      <c r="F939" s="10" t="str">
        <f>"IFIT2"</f>
        <v>IFIT2</v>
      </c>
      <c r="G939" s="10" t="str">
        <f t="shared" si="34"/>
        <v>protein_coding</v>
      </c>
      <c r="J939" s="14"/>
    </row>
    <row r="940" spans="1:10" x14ac:dyDescent="0.2">
      <c r="A940" s="10" t="str">
        <f>"ENSG00000119917.14"</f>
        <v>ENSG00000119917.14</v>
      </c>
      <c r="B940" s="10">
        <v>1.5087217346059301</v>
      </c>
      <c r="C940" s="10">
        <v>0.849764533264463</v>
      </c>
      <c r="D940" s="10">
        <v>15.178149378316499</v>
      </c>
      <c r="E940" s="10">
        <v>4.4628682806842701E-3</v>
      </c>
      <c r="F940" s="10" t="str">
        <f>"IFIT3"</f>
        <v>IFIT3</v>
      </c>
      <c r="G940" s="10" t="str">
        <f t="shared" si="34"/>
        <v>protein_coding</v>
      </c>
      <c r="J940" s="14"/>
    </row>
    <row r="941" spans="1:10" x14ac:dyDescent="0.2">
      <c r="A941" s="10" t="str">
        <f>"ENSG00000224750.6"</f>
        <v>ENSG00000224750.6</v>
      </c>
      <c r="B941" s="10">
        <v>-2.7831399242806798</v>
      </c>
      <c r="C941" s="10">
        <v>-1.20510789253846</v>
      </c>
      <c r="D941" s="10">
        <v>6.2579761567239096</v>
      </c>
      <c r="E941" s="10">
        <v>3.6507663137419002E-2</v>
      </c>
      <c r="F941" s="10" t="str">
        <f>"AL391704.1"</f>
        <v>AL391704.1</v>
      </c>
      <c r="G941" s="10" t="str">
        <f>"lincRNA"</f>
        <v>lincRNA</v>
      </c>
      <c r="J941" s="14"/>
    </row>
    <row r="942" spans="1:10" x14ac:dyDescent="0.2">
      <c r="A942" s="10" t="str">
        <f>"ENSG00000107864.15"</f>
        <v>ENSG00000107864.15</v>
      </c>
      <c r="B942" s="10">
        <v>1.1080584795926101</v>
      </c>
      <c r="C942" s="10">
        <v>1.7870783162513799</v>
      </c>
      <c r="D942" s="10">
        <v>11.0955457043606</v>
      </c>
      <c r="E942" s="10">
        <v>1.0188467861244299E-2</v>
      </c>
      <c r="F942" s="10" t="str">
        <f>"CPEB3"</f>
        <v>CPEB3</v>
      </c>
      <c r="G942" s="10" t="str">
        <f>"protein_coding"</f>
        <v>protein_coding</v>
      </c>
      <c r="J942" s="14"/>
    </row>
    <row r="943" spans="1:10" x14ac:dyDescent="0.2">
      <c r="A943" s="10" t="str">
        <f>"ENSG00000095596.12"</f>
        <v>ENSG00000095596.12</v>
      </c>
      <c r="B943" s="10">
        <v>-1.90227656111846</v>
      </c>
      <c r="C943" s="10">
        <v>0.238755999915815</v>
      </c>
      <c r="D943" s="10">
        <v>5.37796638036576</v>
      </c>
      <c r="E943" s="10">
        <v>4.8611252481727797E-2</v>
      </c>
      <c r="F943" s="10" t="str">
        <f>"CYP26A1"</f>
        <v>CYP26A1</v>
      </c>
      <c r="G943" s="10" t="str">
        <f>"protein_coding"</f>
        <v>protein_coding</v>
      </c>
      <c r="J943" s="14"/>
    </row>
    <row r="944" spans="1:10" x14ac:dyDescent="0.2">
      <c r="A944" s="10" t="str">
        <f>"ENSG00000108231.13"</f>
        <v>ENSG00000108231.13</v>
      </c>
      <c r="B944" s="10">
        <v>2.3251483142762499</v>
      </c>
      <c r="C944" s="10">
        <v>1.07958286490597</v>
      </c>
      <c r="D944" s="10">
        <v>33.149778801019401</v>
      </c>
      <c r="E944" s="10">
        <v>4.0626383892408902E-4</v>
      </c>
      <c r="F944" s="10" t="str">
        <f>"LGI1"</f>
        <v>LGI1</v>
      </c>
      <c r="G944" s="10" t="str">
        <f>"protein_coding"</f>
        <v>protein_coding</v>
      </c>
      <c r="J944" s="14"/>
    </row>
    <row r="945" spans="1:10" x14ac:dyDescent="0.2">
      <c r="A945" s="10" t="str">
        <f>"ENSG00000280660.1"</f>
        <v>ENSG00000280660.1</v>
      </c>
      <c r="B945" s="10">
        <v>2.0073797832092901</v>
      </c>
      <c r="C945" s="10">
        <v>-0.55391291059154202</v>
      </c>
      <c r="D945" s="10">
        <v>8.2018082103106291</v>
      </c>
      <c r="E945" s="10">
        <v>2.07600681673531E-2</v>
      </c>
      <c r="F945" s="10" t="str">
        <f>"AL157396.1"</f>
        <v>AL157396.1</v>
      </c>
      <c r="G945" s="10" t="str">
        <f>"sense_intronic"</f>
        <v>sense_intronic</v>
      </c>
      <c r="J945" s="14"/>
    </row>
    <row r="946" spans="1:10" x14ac:dyDescent="0.2">
      <c r="A946" s="10" t="str">
        <f>"ENSG00000108242.13"</f>
        <v>ENSG00000108242.13</v>
      </c>
      <c r="B946" s="10">
        <v>-2.3995996736895302</v>
      </c>
      <c r="C946" s="10">
        <v>-1.71129118331129</v>
      </c>
      <c r="D946" s="10">
        <v>8.6156779646735604</v>
      </c>
      <c r="E946" s="10">
        <v>1.8542630954058201E-2</v>
      </c>
      <c r="F946" s="10" t="str">
        <f>"CYP2C18"</f>
        <v>CYP2C18</v>
      </c>
      <c r="G946" s="10" t="str">
        <f>"protein_coding"</f>
        <v>protein_coding</v>
      </c>
      <c r="J946" s="14"/>
    </row>
    <row r="947" spans="1:10" x14ac:dyDescent="0.2">
      <c r="A947" s="10" t="str">
        <f>"ENSG00000095587.9"</f>
        <v>ENSG00000095587.9</v>
      </c>
      <c r="B947" s="10">
        <v>-1.45420854383655</v>
      </c>
      <c r="C947" s="10">
        <v>0.895757205197108</v>
      </c>
      <c r="D947" s="10">
        <v>7.2989494595141799</v>
      </c>
      <c r="E947" s="10">
        <v>2.6705120081756101E-2</v>
      </c>
      <c r="F947" s="10" t="str">
        <f>"TLL2"</f>
        <v>TLL2</v>
      </c>
      <c r="G947" s="10" t="str">
        <f>"protein_coding"</f>
        <v>protein_coding</v>
      </c>
      <c r="J947" s="14"/>
    </row>
    <row r="948" spans="1:10" x14ac:dyDescent="0.2">
      <c r="A948" s="10" t="str">
        <f>"ENSG00000225850.3"</f>
        <v>ENSG00000225850.3</v>
      </c>
      <c r="B948" s="10">
        <v>-2.7028879336714802</v>
      </c>
      <c r="C948" s="10">
        <v>-1.5207894439081999</v>
      </c>
      <c r="D948" s="10">
        <v>11.3564379396677</v>
      </c>
      <c r="E948" s="10">
        <v>9.6121022123326107E-3</v>
      </c>
      <c r="F948" s="10" t="str">
        <f>"AL355490.1"</f>
        <v>AL355490.1</v>
      </c>
      <c r="G948" s="10" t="str">
        <f>"bidirectional_promoter_lncRNA"</f>
        <v>bidirectional_promoter_lncRNA</v>
      </c>
      <c r="J948" s="14"/>
    </row>
    <row r="949" spans="1:10" x14ac:dyDescent="0.2">
      <c r="A949" s="10" t="str">
        <f>"ENSG00000241935.9"</f>
        <v>ENSG00000241935.9</v>
      </c>
      <c r="B949" s="10">
        <v>-1.28733921609622</v>
      </c>
      <c r="C949" s="10">
        <v>3.5625617470116899</v>
      </c>
      <c r="D949" s="10">
        <v>13.614439225037501</v>
      </c>
      <c r="E949" s="10">
        <v>6.0014044727586301E-3</v>
      </c>
      <c r="F949" s="10" t="str">
        <f>"HOGA1"</f>
        <v>HOGA1</v>
      </c>
      <c r="G949" s="10" t="str">
        <f>"protein_coding"</f>
        <v>protein_coding</v>
      </c>
      <c r="J949" s="14"/>
    </row>
    <row r="950" spans="1:10" x14ac:dyDescent="0.2">
      <c r="A950" s="10" t="str">
        <f>"ENSG00000120057.5"</f>
        <v>ENSG00000120057.5</v>
      </c>
      <c r="B950" s="10">
        <v>-3.62714110483667</v>
      </c>
      <c r="C950" s="10">
        <v>-1.8436658624498901</v>
      </c>
      <c r="D950" s="10">
        <v>12.337025203974401</v>
      </c>
      <c r="E950" s="10">
        <v>7.7798561302536099E-3</v>
      </c>
      <c r="F950" s="10" t="str">
        <f>"SFRP5"</f>
        <v>SFRP5</v>
      </c>
      <c r="G950" s="10" t="str">
        <f>"protein_coding"</f>
        <v>protein_coding</v>
      </c>
      <c r="J950" s="14"/>
    </row>
    <row r="951" spans="1:10" x14ac:dyDescent="0.2">
      <c r="A951" s="10" t="str">
        <f>"ENSG00000095713.14"</f>
        <v>ENSG00000095713.14</v>
      </c>
      <c r="B951" s="10">
        <v>-2.59490018981632</v>
      </c>
      <c r="C951" s="10">
        <v>3.1855809281653999</v>
      </c>
      <c r="D951" s="10">
        <v>25.266687748934501</v>
      </c>
      <c r="E951" s="10">
        <v>9.8124563369318294E-4</v>
      </c>
      <c r="F951" s="10" t="str">
        <f>"CRTAC1"</f>
        <v>CRTAC1</v>
      </c>
      <c r="G951" s="10" t="str">
        <f>"protein_coding"</f>
        <v>protein_coding</v>
      </c>
      <c r="J951" s="14"/>
    </row>
    <row r="952" spans="1:10" x14ac:dyDescent="0.2">
      <c r="A952" s="10" t="str">
        <f>"ENSG00000107819.13"</f>
        <v>ENSG00000107819.13</v>
      </c>
      <c r="B952" s="10">
        <v>1.24364093473717</v>
      </c>
      <c r="C952" s="10">
        <v>4.5800286492020499</v>
      </c>
      <c r="D952" s="10">
        <v>17.2130025124657</v>
      </c>
      <c r="E952" s="10">
        <v>3.1288160121463698E-3</v>
      </c>
      <c r="F952" s="10" t="str">
        <f>"SFXN3"</f>
        <v>SFXN3</v>
      </c>
      <c r="G952" s="10" t="str">
        <f>"protein_coding"</f>
        <v>protein_coding</v>
      </c>
      <c r="J952" s="14"/>
    </row>
    <row r="953" spans="1:10" x14ac:dyDescent="0.2">
      <c r="A953" s="10" t="str">
        <f>"ENSG00000227128.4"</f>
        <v>ENSG00000227128.4</v>
      </c>
      <c r="B953" s="10">
        <v>-2.5307942233971601</v>
      </c>
      <c r="C953" s="10">
        <v>-1.63758011572313</v>
      </c>
      <c r="D953" s="10">
        <v>6.8524126612065901</v>
      </c>
      <c r="E953" s="10">
        <v>3.0442027653443799E-2</v>
      </c>
      <c r="F953" s="10" t="str">
        <f>"LBX1-AS1"</f>
        <v>LBX1-AS1</v>
      </c>
      <c r="G953" s="10" t="str">
        <f>"processed_transcript"</f>
        <v>processed_transcript</v>
      </c>
      <c r="J953" s="14"/>
    </row>
    <row r="954" spans="1:10" x14ac:dyDescent="0.2">
      <c r="A954" s="10" t="str">
        <f>"ENSG00000119915.5"</f>
        <v>ENSG00000119915.5</v>
      </c>
      <c r="B954" s="10">
        <v>-1.22549275356976</v>
      </c>
      <c r="C954" s="10">
        <v>1.2785199260136699</v>
      </c>
      <c r="D954" s="10">
        <v>5.4032364725128099</v>
      </c>
      <c r="E954" s="10">
        <v>4.81979169635883E-2</v>
      </c>
      <c r="F954" s="10" t="str">
        <f>"ELOVL3"</f>
        <v>ELOVL3</v>
      </c>
      <c r="G954" s="10" t="str">
        <f>"protein_coding"</f>
        <v>protein_coding</v>
      </c>
      <c r="J954" s="14"/>
    </row>
    <row r="955" spans="1:10" x14ac:dyDescent="0.2">
      <c r="A955" s="10" t="str">
        <f>"ENSG00000107859.10"</f>
        <v>ENSG00000107859.10</v>
      </c>
      <c r="B955" s="10">
        <v>-2.1432728677841499</v>
      </c>
      <c r="C955" s="10">
        <v>-1.5929307055489399</v>
      </c>
      <c r="D955" s="10">
        <v>6.6472214924550803</v>
      </c>
      <c r="E955" s="10">
        <v>3.23805712428578E-2</v>
      </c>
      <c r="F955" s="10" t="str">
        <f>"PITX3"</f>
        <v>PITX3</v>
      </c>
      <c r="G955" s="10" t="str">
        <f>"protein_coding"</f>
        <v>protein_coding</v>
      </c>
      <c r="J955" s="14"/>
    </row>
    <row r="956" spans="1:10" x14ac:dyDescent="0.2">
      <c r="A956" s="10" t="str">
        <f>"ENSG00000059915.17"</f>
        <v>ENSG00000059915.17</v>
      </c>
      <c r="B956" s="10">
        <v>-1.56201945868225</v>
      </c>
      <c r="C956" s="10">
        <v>-0.99632167786887205</v>
      </c>
      <c r="D956" s="10">
        <v>7.22348942808462</v>
      </c>
      <c r="E956" s="10">
        <v>2.72941720236131E-2</v>
      </c>
      <c r="F956" s="10" t="str">
        <f>"PSD"</f>
        <v>PSD</v>
      </c>
      <c r="G956" s="10" t="str">
        <f>"protein_coding"</f>
        <v>protein_coding</v>
      </c>
      <c r="J956" s="14"/>
    </row>
    <row r="957" spans="1:10" x14ac:dyDescent="0.2">
      <c r="A957" s="10" t="str">
        <f>"ENSG00000273108.1"</f>
        <v>ENSG00000273108.1</v>
      </c>
      <c r="B957" s="10">
        <v>-2.2325267730034999</v>
      </c>
      <c r="C957" s="10">
        <v>-2.0920707060104</v>
      </c>
      <c r="D957" s="10">
        <v>6.1005012048922502</v>
      </c>
      <c r="E957" s="10">
        <v>3.8003360365983299E-2</v>
      </c>
      <c r="F957" s="10" t="str">
        <f>"AL121929.2"</f>
        <v>AL121929.2</v>
      </c>
      <c r="G957" s="10" t="str">
        <f>"antisense"</f>
        <v>antisense</v>
      </c>
      <c r="J957" s="14"/>
    </row>
    <row r="958" spans="1:10" x14ac:dyDescent="0.2">
      <c r="A958" s="10" t="str">
        <f>"ENSG00000119913.5"</f>
        <v>ENSG00000119913.5</v>
      </c>
      <c r="B958" s="10">
        <v>-1.18281172442056</v>
      </c>
      <c r="C958" s="10">
        <v>3.50865728788526</v>
      </c>
      <c r="D958" s="10">
        <v>11.676070833613201</v>
      </c>
      <c r="E958" s="10">
        <v>8.9605625070685608E-3</v>
      </c>
      <c r="F958" s="10" t="str">
        <f>"TECTB"</f>
        <v>TECTB</v>
      </c>
      <c r="G958" s="10" t="str">
        <f>"protein_coding"</f>
        <v>protein_coding</v>
      </c>
      <c r="J958" s="14"/>
    </row>
    <row r="959" spans="1:10" x14ac:dyDescent="0.2">
      <c r="A959" s="10" t="str">
        <f>"ENSG00000243316.7"</f>
        <v>ENSG00000243316.7</v>
      </c>
      <c r="B959" s="10">
        <v>2.0724748599726199</v>
      </c>
      <c r="C959" s="10">
        <v>-1.56350381742338</v>
      </c>
      <c r="D959" s="10">
        <v>5.3322849926382503</v>
      </c>
      <c r="E959" s="10">
        <v>4.9369966336273399E-2</v>
      </c>
      <c r="F959" s="10" t="str">
        <f>"GUCY2GP"</f>
        <v>GUCY2GP</v>
      </c>
      <c r="G959" s="10" t="str">
        <f>"transcribed_unitary_pseudogene"</f>
        <v>transcribed_unitary_pseudogene</v>
      </c>
      <c r="J959" s="14"/>
    </row>
    <row r="960" spans="1:10" x14ac:dyDescent="0.2">
      <c r="A960" s="10" t="str">
        <f>"ENSG00000148702.15"</f>
        <v>ENSG00000148702.15</v>
      </c>
      <c r="B960" s="10">
        <v>-1.8165497795891199</v>
      </c>
      <c r="C960" s="10">
        <v>1.90177558412206</v>
      </c>
      <c r="D960" s="10">
        <v>28.247184603169199</v>
      </c>
      <c r="E960" s="10">
        <v>6.8701621150590202E-4</v>
      </c>
      <c r="F960" s="10" t="str">
        <f>"HABP2"</f>
        <v>HABP2</v>
      </c>
      <c r="G960" s="10" t="str">
        <f>"protein_coding"</f>
        <v>protein_coding</v>
      </c>
      <c r="J960" s="14"/>
    </row>
    <row r="961" spans="1:10" x14ac:dyDescent="0.2">
      <c r="A961" s="10" t="str">
        <f>"ENSG00000188613.7"</f>
        <v>ENSG00000188613.7</v>
      </c>
      <c r="B961" s="10">
        <v>-1.5186858943894099</v>
      </c>
      <c r="C961" s="10">
        <v>2.04920335692655</v>
      </c>
      <c r="D961" s="10">
        <v>24.800030083072301</v>
      </c>
      <c r="E961" s="10">
        <v>1.0255769638535599E-3</v>
      </c>
      <c r="F961" s="10" t="str">
        <f>"NANOS1"</f>
        <v>NANOS1</v>
      </c>
      <c r="G961" s="10" t="str">
        <f>"protein_coding"</f>
        <v>protein_coding</v>
      </c>
      <c r="J961" s="14"/>
    </row>
    <row r="962" spans="1:10" x14ac:dyDescent="0.2">
      <c r="A962" s="10" t="str">
        <f>"ENSG00000148908.15"</f>
        <v>ENSG00000148908.15</v>
      </c>
      <c r="B962" s="10">
        <v>1.2055917468671999</v>
      </c>
      <c r="C962" s="10">
        <v>1.8098031762137801</v>
      </c>
      <c r="D962" s="10">
        <v>14.441451304389901</v>
      </c>
      <c r="E962" s="10">
        <v>5.1155867382409502E-3</v>
      </c>
      <c r="F962" s="10" t="str">
        <f>"RGS10"</f>
        <v>RGS10</v>
      </c>
      <c r="G962" s="10" t="str">
        <f>"protein_coding"</f>
        <v>protein_coding</v>
      </c>
      <c r="J962" s="14"/>
    </row>
    <row r="963" spans="1:10" x14ac:dyDescent="0.2">
      <c r="A963" s="10" t="str">
        <f>"ENSG00000270300.2"</f>
        <v>ENSG00000270300.2</v>
      </c>
      <c r="B963" s="10">
        <v>3.4675369618719198</v>
      </c>
      <c r="C963" s="10">
        <v>-1.5576640158077599</v>
      </c>
      <c r="D963" s="10">
        <v>9.8199244184250496</v>
      </c>
      <c r="E963" s="10">
        <v>1.3723895827051099E-2</v>
      </c>
      <c r="F963" s="10" t="str">
        <f>"PHACTR2P1"</f>
        <v>PHACTR2P1</v>
      </c>
      <c r="G963" s="10" t="str">
        <f>"transcribed_processed_pseudogene"</f>
        <v>transcribed_processed_pseudogene</v>
      </c>
      <c r="J963" s="14"/>
    </row>
    <row r="964" spans="1:10" x14ac:dyDescent="0.2">
      <c r="A964" s="10" t="str">
        <f>"ENSG00000066468.22"</f>
        <v>ENSG00000066468.22</v>
      </c>
      <c r="B964" s="10">
        <v>-1.82205556472319</v>
      </c>
      <c r="C964" s="10">
        <v>4.6302611584080804</v>
      </c>
      <c r="D964" s="10">
        <v>13.7266963032221</v>
      </c>
      <c r="E964" s="10">
        <v>5.8707218937050099E-3</v>
      </c>
      <c r="F964" s="10" t="str">
        <f>"FGFR2"</f>
        <v>FGFR2</v>
      </c>
      <c r="G964" s="10" t="str">
        <f>"protein_coding"</f>
        <v>protein_coding</v>
      </c>
      <c r="J964" s="14"/>
    </row>
    <row r="965" spans="1:10" x14ac:dyDescent="0.2">
      <c r="A965" s="10" t="str">
        <f>"ENSG00000226864.2"</f>
        <v>ENSG00000226864.2</v>
      </c>
      <c r="B965" s="10">
        <v>-1.7002728752142899</v>
      </c>
      <c r="C965" s="10">
        <v>-1.6254259792361601</v>
      </c>
      <c r="D965" s="10">
        <v>7.5107912795953</v>
      </c>
      <c r="E965" s="10">
        <v>2.4744611641300599E-2</v>
      </c>
      <c r="F965" s="10" t="str">
        <f>"ATE1-AS1"</f>
        <v>ATE1-AS1</v>
      </c>
      <c r="G965" s="10" t="str">
        <f>"transcribed_unitary_pseudogene"</f>
        <v>transcribed_unitary_pseudogene</v>
      </c>
      <c r="J965" s="14"/>
    </row>
    <row r="966" spans="1:10" x14ac:dyDescent="0.2">
      <c r="A966" s="10" t="str">
        <f>"ENSG00000188620.10"</f>
        <v>ENSG00000188620.10</v>
      </c>
      <c r="B966" s="10">
        <v>1.20327223193254</v>
      </c>
      <c r="C966" s="10">
        <v>0.14072131926109599</v>
      </c>
      <c r="D966" s="10">
        <v>6.5298534111267204</v>
      </c>
      <c r="E966" s="10">
        <v>3.3559824790728499E-2</v>
      </c>
      <c r="F966" s="10" t="str">
        <f>"HMX3"</f>
        <v>HMX3</v>
      </c>
      <c r="G966" s="10" t="str">
        <f>"protein_coding"</f>
        <v>protein_coding</v>
      </c>
      <c r="J966" s="14"/>
    </row>
    <row r="967" spans="1:10" x14ac:dyDescent="0.2">
      <c r="A967" s="10" t="str">
        <f>"ENSG00000283095.1"</f>
        <v>ENSG00000283095.1</v>
      </c>
      <c r="B967" s="10">
        <v>2.28559920407299</v>
      </c>
      <c r="C967" s="10">
        <v>-0.96072943652749299</v>
      </c>
      <c r="D967" s="10">
        <v>14.4558983180527</v>
      </c>
      <c r="E967" s="10">
        <v>5.1031824785212699E-3</v>
      </c>
      <c r="F967" s="10" t="str">
        <f>"FP565171.1"</f>
        <v>FP565171.1</v>
      </c>
      <c r="G967" s="10" t="str">
        <f>"lincRNA"</f>
        <v>lincRNA</v>
      </c>
      <c r="J967" s="14"/>
    </row>
    <row r="968" spans="1:10" x14ac:dyDescent="0.2">
      <c r="A968" s="10" t="str">
        <f>"ENSG00000235010.1"</f>
        <v>ENSG00000235010.1</v>
      </c>
      <c r="B968" s="10">
        <v>-3.74743199514401</v>
      </c>
      <c r="C968" s="10">
        <v>-1.7601736972975</v>
      </c>
      <c r="D968" s="10">
        <v>9.9458147928769893</v>
      </c>
      <c r="E968" s="10">
        <v>1.3312606993754E-2</v>
      </c>
      <c r="F968" s="10" t="str">
        <f>"AL512622.1"</f>
        <v>AL512622.1</v>
      </c>
      <c r="G968" s="10" t="str">
        <f>"antisense"</f>
        <v>antisense</v>
      </c>
      <c r="J968" s="14"/>
    </row>
    <row r="969" spans="1:10" x14ac:dyDescent="0.2">
      <c r="A969" s="10" t="str">
        <f>"ENSG00000151640.13"</f>
        <v>ENSG00000151640.13</v>
      </c>
      <c r="B969" s="10">
        <v>-1.3272863527716301</v>
      </c>
      <c r="C969" s="10">
        <v>6.8878970568838804</v>
      </c>
      <c r="D969" s="10">
        <v>6.4186739488512803</v>
      </c>
      <c r="E969" s="10">
        <v>3.4727467832365001E-2</v>
      </c>
      <c r="F969" s="10" t="str">
        <f>"DPYSL4"</f>
        <v>DPYSL4</v>
      </c>
      <c r="G969" s="10" t="str">
        <f>"protein_coding"</f>
        <v>protein_coding</v>
      </c>
      <c r="J969" s="14"/>
    </row>
    <row r="970" spans="1:10" x14ac:dyDescent="0.2">
      <c r="A970" s="10" t="str">
        <f>"ENSG00000171811.14"</f>
        <v>ENSG00000171811.14</v>
      </c>
      <c r="B970" s="10">
        <v>-1.1857388763046</v>
      </c>
      <c r="C970" s="10">
        <v>-0.21247019978162801</v>
      </c>
      <c r="D970" s="10">
        <v>8.1511988125797803</v>
      </c>
      <c r="E970" s="10">
        <v>2.0706578622397401E-2</v>
      </c>
      <c r="F970" s="10" t="str">
        <f>"CFAP46"</f>
        <v>CFAP46</v>
      </c>
      <c r="G970" s="10" t="str">
        <f>"protein_coding"</f>
        <v>protein_coding</v>
      </c>
      <c r="J970" s="14"/>
    </row>
    <row r="971" spans="1:10" x14ac:dyDescent="0.2">
      <c r="A971" s="10" t="str">
        <f>"ENSG00000151651.16"</f>
        <v>ENSG00000151651.16</v>
      </c>
      <c r="B971" s="10">
        <v>-2.2604546379515802</v>
      </c>
      <c r="C971" s="10">
        <v>0.806178109621427</v>
      </c>
      <c r="D971" s="10">
        <v>29.182514798785199</v>
      </c>
      <c r="E971" s="10">
        <v>6.1813095330570395E-4</v>
      </c>
      <c r="F971" s="10" t="str">
        <f>"ADAM8"</f>
        <v>ADAM8</v>
      </c>
      <c r="G971" s="10" t="str">
        <f>"protein_coding"</f>
        <v>protein_coding</v>
      </c>
      <c r="J971" s="14"/>
    </row>
    <row r="972" spans="1:10" x14ac:dyDescent="0.2">
      <c r="A972" s="10" t="str">
        <f>"ENSG00000255026.1"</f>
        <v>ENSG00000255026.1</v>
      </c>
      <c r="B972" s="10">
        <v>-1.3918203170478101</v>
      </c>
      <c r="C972" s="10">
        <v>-1.0986743521793401</v>
      </c>
      <c r="D972" s="10">
        <v>6.5368294507986704</v>
      </c>
      <c r="E972" s="10">
        <v>3.3044242692400402E-2</v>
      </c>
      <c r="F972" s="10" t="str">
        <f>"AC136475.3"</f>
        <v>AC136475.3</v>
      </c>
      <c r="G972" s="10" t="str">
        <f>"antisense"</f>
        <v>antisense</v>
      </c>
      <c r="J972" s="14"/>
    </row>
    <row r="973" spans="1:10" x14ac:dyDescent="0.2">
      <c r="A973" s="10" t="str">
        <f>"ENSG00000185201.16"</f>
        <v>ENSG00000185201.16</v>
      </c>
      <c r="B973" s="10">
        <v>2.08003577644625</v>
      </c>
      <c r="C973" s="10">
        <v>4.6714600520796496</v>
      </c>
      <c r="D973" s="10">
        <v>10.7672075954234</v>
      </c>
      <c r="E973" s="10">
        <v>1.0976896044993099E-2</v>
      </c>
      <c r="F973" s="10" t="str">
        <f>"IFITM2"</f>
        <v>IFITM2</v>
      </c>
      <c r="G973" s="10" t="str">
        <f>"protein_coding"</f>
        <v>protein_coding</v>
      </c>
      <c r="J973" s="14"/>
    </row>
    <row r="974" spans="1:10" x14ac:dyDescent="0.2">
      <c r="A974" s="10" t="str">
        <f>"ENSG00000251661.3"</f>
        <v>ENSG00000251661.3</v>
      </c>
      <c r="B974" s="10">
        <v>1.24357283121782</v>
      </c>
      <c r="C974" s="10">
        <v>-0.67060527049163299</v>
      </c>
      <c r="D974" s="10">
        <v>7.71075186876838</v>
      </c>
      <c r="E974" s="10">
        <v>2.33783613953671E-2</v>
      </c>
      <c r="F974" s="10" t="str">
        <f>"AC136475.1"</f>
        <v>AC136475.1</v>
      </c>
      <c r="G974" s="10" t="str">
        <f>"antisense"</f>
        <v>antisense</v>
      </c>
      <c r="J974" s="14"/>
    </row>
    <row r="975" spans="1:10" x14ac:dyDescent="0.2">
      <c r="A975" s="10" t="str">
        <f>"ENSG00000142089.16"</f>
        <v>ENSG00000142089.16</v>
      </c>
      <c r="B975" s="10">
        <v>1.1914114913220599</v>
      </c>
      <c r="C975" s="10">
        <v>6.1639361144651499</v>
      </c>
      <c r="D975" s="10">
        <v>10.0353979402233</v>
      </c>
      <c r="E975" s="10">
        <v>1.3029332484300301E-2</v>
      </c>
      <c r="F975" s="10" t="str">
        <f>"IFITM3"</f>
        <v>IFITM3</v>
      </c>
      <c r="G975" s="10" t="str">
        <f>"protein_coding"</f>
        <v>protein_coding</v>
      </c>
      <c r="J975" s="14"/>
    </row>
    <row r="976" spans="1:10" x14ac:dyDescent="0.2">
      <c r="A976" s="10" t="str">
        <f>"ENSG00000270030.1"</f>
        <v>ENSG00000270030.1</v>
      </c>
      <c r="B976" s="10">
        <v>2.2524154427026302</v>
      </c>
      <c r="C976" s="10">
        <v>-0.73460184489147495</v>
      </c>
      <c r="D976" s="10">
        <v>15.554417684308801</v>
      </c>
      <c r="E976" s="10">
        <v>4.1690732726402399E-3</v>
      </c>
      <c r="F976" s="10" t="str">
        <f>"AC136475.7"</f>
        <v>AC136475.7</v>
      </c>
      <c r="G976" s="10" t="str">
        <f>"lincRNA"</f>
        <v>lincRNA</v>
      </c>
      <c r="J976" s="14"/>
    </row>
    <row r="977" spans="1:10" x14ac:dyDescent="0.2">
      <c r="A977" s="10" t="str">
        <f>"ENSG00000255328.1"</f>
        <v>ENSG00000255328.1</v>
      </c>
      <c r="B977" s="10">
        <v>1.88025347433148</v>
      </c>
      <c r="C977" s="10">
        <v>-1.3462449307894599</v>
      </c>
      <c r="D977" s="10">
        <v>9.9389068104168405</v>
      </c>
      <c r="E977" s="10">
        <v>1.3053636511452501E-2</v>
      </c>
      <c r="F977" s="10" t="str">
        <f>"AC136475.5"</f>
        <v>AC136475.5</v>
      </c>
      <c r="G977" s="10" t="str">
        <f>"lincRNA"</f>
        <v>lincRNA</v>
      </c>
      <c r="J977" s="14"/>
    </row>
    <row r="978" spans="1:10" x14ac:dyDescent="0.2">
      <c r="A978" s="10" t="str">
        <f>"ENSG00000185187.13"</f>
        <v>ENSG00000185187.13</v>
      </c>
      <c r="B978" s="10">
        <v>1.32979549885287</v>
      </c>
      <c r="C978" s="10">
        <v>-0.83186059396818401</v>
      </c>
      <c r="D978" s="10">
        <v>6.39063354930133</v>
      </c>
      <c r="E978" s="10">
        <v>3.4945769292146399E-2</v>
      </c>
      <c r="F978" s="10" t="str">
        <f>"SIGIRR"</f>
        <v>SIGIRR</v>
      </c>
      <c r="G978" s="10" t="str">
        <f>"protein_coding"</f>
        <v>protein_coding</v>
      </c>
      <c r="J978" s="14"/>
    </row>
    <row r="979" spans="1:10" x14ac:dyDescent="0.2">
      <c r="A979" s="10" t="str">
        <f>"ENSG00000254815.5"</f>
        <v>ENSG00000254815.5</v>
      </c>
      <c r="B979" s="10">
        <v>-1.05513048504198</v>
      </c>
      <c r="C979" s="10">
        <v>-0.225178141182904</v>
      </c>
      <c r="D979" s="10">
        <v>6.5330177266276204</v>
      </c>
      <c r="E979" s="10">
        <v>3.3083120107094098E-2</v>
      </c>
      <c r="F979" s="10" t="str">
        <f>"AP006284.1"</f>
        <v>AP006284.1</v>
      </c>
      <c r="G979" s="10" t="str">
        <f>"antisense"</f>
        <v>antisense</v>
      </c>
      <c r="J979" s="14"/>
    </row>
    <row r="980" spans="1:10" x14ac:dyDescent="0.2">
      <c r="A980" s="10" t="str">
        <f>"ENSG00000177156.11"</f>
        <v>ENSG00000177156.11</v>
      </c>
      <c r="B980" s="10">
        <v>1.0310033001327801</v>
      </c>
      <c r="C980" s="10">
        <v>7.1553731186736798</v>
      </c>
      <c r="D980" s="10">
        <v>27.241439441449501</v>
      </c>
      <c r="E980" s="10">
        <v>7.3150125763532796E-4</v>
      </c>
      <c r="F980" s="10" t="str">
        <f>"TALDO1"</f>
        <v>TALDO1</v>
      </c>
      <c r="G980" s="10" t="str">
        <f>"protein_coding"</f>
        <v>protein_coding</v>
      </c>
      <c r="J980" s="14"/>
    </row>
    <row r="981" spans="1:10" x14ac:dyDescent="0.2">
      <c r="A981" s="10" t="str">
        <f>"ENSG00000274897.3"</f>
        <v>ENSG00000274897.3</v>
      </c>
      <c r="B981" s="10">
        <v>-2.2254119239996002</v>
      </c>
      <c r="C981" s="10">
        <v>-0.36963440154203597</v>
      </c>
      <c r="D981" s="10">
        <v>12.4238792568131</v>
      </c>
      <c r="E981" s="10">
        <v>7.63956796063202E-3</v>
      </c>
      <c r="F981" s="10" t="str">
        <f>"PANO1"</f>
        <v>PANO1</v>
      </c>
      <c r="G981" s="10" t="str">
        <f>"protein_coding"</f>
        <v>protein_coding</v>
      </c>
      <c r="J981" s="14"/>
    </row>
    <row r="982" spans="1:10" x14ac:dyDescent="0.2">
      <c r="A982" s="10" t="str">
        <f>"ENSG00000205869.2"</f>
        <v>ENSG00000205869.2</v>
      </c>
      <c r="B982" s="10">
        <v>-1.4258856708179399</v>
      </c>
      <c r="C982" s="10">
        <v>-0.29584108935782</v>
      </c>
      <c r="D982" s="10">
        <v>7.8073891629883096</v>
      </c>
      <c r="E982" s="10">
        <v>2.3127279678593501E-2</v>
      </c>
      <c r="F982" s="10" t="str">
        <f>"KRTAP5-1"</f>
        <v>KRTAP5-1</v>
      </c>
      <c r="G982" s="10" t="str">
        <f>"protein_coding"</f>
        <v>protein_coding</v>
      </c>
      <c r="J982" s="14"/>
    </row>
    <row r="983" spans="1:10" x14ac:dyDescent="0.2">
      <c r="A983" s="10" t="str">
        <f>"ENSG00000167244.20"</f>
        <v>ENSG00000167244.20</v>
      </c>
      <c r="B983" s="10">
        <v>-1.31256891817114</v>
      </c>
      <c r="C983" s="10">
        <v>4.2213219773492003</v>
      </c>
      <c r="D983" s="10">
        <v>8.2781519800655996</v>
      </c>
      <c r="E983" s="10">
        <v>2.0337694936368899E-2</v>
      </c>
      <c r="F983" s="10" t="str">
        <f>"IGF2"</f>
        <v>IGF2</v>
      </c>
      <c r="G983" s="10" t="str">
        <f>"protein_coding"</f>
        <v>protein_coding</v>
      </c>
      <c r="J983" s="14"/>
    </row>
    <row r="984" spans="1:10" x14ac:dyDescent="0.2">
      <c r="A984" s="10" t="str">
        <f>"ENSG00000099869.7"</f>
        <v>ENSG00000099869.7</v>
      </c>
      <c r="B984" s="10">
        <v>-1.83475703374205</v>
      </c>
      <c r="C984" s="10">
        <v>-0.49715651154315599</v>
      </c>
      <c r="D984" s="10">
        <v>10.588406394780399</v>
      </c>
      <c r="E984" s="10">
        <v>1.14385104251612E-2</v>
      </c>
      <c r="F984" s="10" t="str">
        <f>"IGF2-AS"</f>
        <v>IGF2-AS</v>
      </c>
      <c r="G984" s="10" t="str">
        <f>"antisense"</f>
        <v>antisense</v>
      </c>
      <c r="J984" s="14"/>
    </row>
    <row r="985" spans="1:10" x14ac:dyDescent="0.2">
      <c r="A985" s="10" t="str">
        <f>"ENSG00000064201.15"</f>
        <v>ENSG00000064201.15</v>
      </c>
      <c r="B985" s="10">
        <v>2.16623380581568</v>
      </c>
      <c r="C985" s="10">
        <v>-0.90396917236869101</v>
      </c>
      <c r="D985" s="10">
        <v>14.851491700461199</v>
      </c>
      <c r="E985" s="10">
        <v>4.6946012264249097E-3</v>
      </c>
      <c r="F985" s="10" t="str">
        <f>"TSPAN32"</f>
        <v>TSPAN32</v>
      </c>
      <c r="G985" s="10" t="str">
        <f>"protein_coding"</f>
        <v>protein_coding</v>
      </c>
      <c r="J985" s="14"/>
    </row>
    <row r="986" spans="1:10" x14ac:dyDescent="0.2">
      <c r="A986" s="10" t="str">
        <f>"ENSG00000110628.14"</f>
        <v>ENSG00000110628.14</v>
      </c>
      <c r="B986" s="10">
        <v>1.0085718446241001</v>
      </c>
      <c r="C986" s="10">
        <v>4.89832613173835</v>
      </c>
      <c r="D986" s="10">
        <v>8.08653926807456</v>
      </c>
      <c r="E986" s="10">
        <v>2.1418959492915401E-2</v>
      </c>
      <c r="F986" s="10" t="str">
        <f>"SLC22A18"</f>
        <v>SLC22A18</v>
      </c>
      <c r="G986" s="10" t="str">
        <f>"protein_coding"</f>
        <v>protein_coding</v>
      </c>
      <c r="J986" s="14"/>
    </row>
    <row r="987" spans="1:10" x14ac:dyDescent="0.2">
      <c r="A987" s="10" t="str">
        <f>"ENSG00000166341.8"</f>
        <v>ENSG00000166341.8</v>
      </c>
      <c r="B987" s="10">
        <v>-2.3827212740933899</v>
      </c>
      <c r="C987" s="10">
        <v>-1.2185068164247901</v>
      </c>
      <c r="D987" s="10">
        <v>16.770336733572101</v>
      </c>
      <c r="E987" s="10">
        <v>3.2525867091041699E-3</v>
      </c>
      <c r="F987" s="10" t="str">
        <f>"DCHS1"</f>
        <v>DCHS1</v>
      </c>
      <c r="G987" s="10" t="str">
        <f>"protein_coding"</f>
        <v>protein_coding</v>
      </c>
      <c r="J987" s="14"/>
    </row>
    <row r="988" spans="1:10" x14ac:dyDescent="0.2">
      <c r="A988" s="10" t="str">
        <f>"ENSG00000183378.11"</f>
        <v>ENSG00000183378.11</v>
      </c>
      <c r="B988" s="10">
        <v>-1.51681994650589</v>
      </c>
      <c r="C988" s="10">
        <v>-0.57979322558981505</v>
      </c>
      <c r="D988" s="10">
        <v>9.4499022467784695</v>
      </c>
      <c r="E988" s="10">
        <v>1.4952870199869499E-2</v>
      </c>
      <c r="F988" s="10" t="str">
        <f>"OVCH2"</f>
        <v>OVCH2</v>
      </c>
      <c r="G988" s="10" t="str">
        <f>"protein_coding"</f>
        <v>protein_coding</v>
      </c>
      <c r="J988" s="14"/>
    </row>
    <row r="989" spans="1:10" x14ac:dyDescent="0.2">
      <c r="A989" s="10" t="str">
        <f>"ENSG00000176716.5"</f>
        <v>ENSG00000176716.5</v>
      </c>
      <c r="B989" s="10">
        <v>-1.9417214097103599</v>
      </c>
      <c r="C989" s="10">
        <v>-0.77067676934550899</v>
      </c>
      <c r="D989" s="10">
        <v>13.9513244817018</v>
      </c>
      <c r="E989" s="10">
        <v>5.5089030470081603E-3</v>
      </c>
      <c r="F989" s="10" t="str">
        <f>"OR10AB1P"</f>
        <v>OR10AB1P</v>
      </c>
      <c r="G989" s="10" t="str">
        <f>"transcribed_unprocessed_pseudogene"</f>
        <v>transcribed_unprocessed_pseudogene</v>
      </c>
      <c r="J989" s="14"/>
    </row>
    <row r="990" spans="1:10" x14ac:dyDescent="0.2">
      <c r="A990" s="10" t="str">
        <f>"ENSG00000166402.8"</f>
        <v>ENSG00000166402.8</v>
      </c>
      <c r="B990" s="10">
        <v>-1.2496780617171701</v>
      </c>
      <c r="C990" s="10">
        <v>4.19113237021649</v>
      </c>
      <c r="D990" s="10">
        <v>10.0309679504476</v>
      </c>
      <c r="E990" s="10">
        <v>1.30431617634824E-2</v>
      </c>
      <c r="F990" s="10" t="str">
        <f>"TUB"</f>
        <v>TUB</v>
      </c>
      <c r="G990" s="10" t="str">
        <f t="shared" ref="G990:G1001" si="35">"protein_coding"</f>
        <v>protein_coding</v>
      </c>
      <c r="J990" s="14"/>
    </row>
    <row r="991" spans="1:10" x14ac:dyDescent="0.2">
      <c r="A991" s="10" t="str">
        <f>"ENSG00000175356.13"</f>
        <v>ENSG00000175356.13</v>
      </c>
      <c r="B991" s="10">
        <v>-1.0320358994427601</v>
      </c>
      <c r="C991" s="10">
        <v>-0.713953820013561</v>
      </c>
      <c r="D991" s="10">
        <v>6.4186643434991701</v>
      </c>
      <c r="E991" s="10">
        <v>3.4276777361438901E-2</v>
      </c>
      <c r="F991" s="10" t="str">
        <f>"SCUBE2"</f>
        <v>SCUBE2</v>
      </c>
      <c r="G991" s="10" t="str">
        <f t="shared" si="35"/>
        <v>protein_coding</v>
      </c>
      <c r="J991" s="14"/>
    </row>
    <row r="992" spans="1:10" x14ac:dyDescent="0.2">
      <c r="A992" s="10" t="str">
        <f>"ENSG00000133812.15"</f>
        <v>ENSG00000133812.15</v>
      </c>
      <c r="B992" s="10">
        <v>1.29618852918634</v>
      </c>
      <c r="C992" s="10">
        <v>5.4479166209993899</v>
      </c>
      <c r="D992" s="10">
        <v>19.139073414877</v>
      </c>
      <c r="E992" s="10">
        <v>2.2963251072957102E-3</v>
      </c>
      <c r="F992" s="10" t="str">
        <f>"SBF2"</f>
        <v>SBF2</v>
      </c>
      <c r="G992" s="10" t="str">
        <f t="shared" si="35"/>
        <v>protein_coding</v>
      </c>
      <c r="J992" s="14"/>
    </row>
    <row r="993" spans="1:10" x14ac:dyDescent="0.2">
      <c r="A993" s="10" t="str">
        <f>"ENSG00000133805.15"</f>
        <v>ENSG00000133805.15</v>
      </c>
      <c r="B993" s="10">
        <v>1.53855859808203</v>
      </c>
      <c r="C993" s="10">
        <v>2.7176524245143301</v>
      </c>
      <c r="D993" s="10">
        <v>26.2386883884833</v>
      </c>
      <c r="E993" s="10">
        <v>8.7050063147948195E-4</v>
      </c>
      <c r="F993" s="10" t="str">
        <f>"AMPD3"</f>
        <v>AMPD3</v>
      </c>
      <c r="G993" s="10" t="str">
        <f t="shared" si="35"/>
        <v>protein_coding</v>
      </c>
      <c r="J993" s="14"/>
    </row>
    <row r="994" spans="1:10" x14ac:dyDescent="0.2">
      <c r="A994" s="10" t="str">
        <f>"ENSG00000133800.8"</f>
        <v>ENSG00000133800.8</v>
      </c>
      <c r="B994" s="10">
        <v>1.3313254384523201</v>
      </c>
      <c r="C994" s="10">
        <v>1.68071143621246</v>
      </c>
      <c r="D994" s="10">
        <v>13.5671520434831</v>
      </c>
      <c r="E994" s="10">
        <v>6.0575426431943701E-3</v>
      </c>
      <c r="F994" s="10" t="str">
        <f>"LYVE1"</f>
        <v>LYVE1</v>
      </c>
      <c r="G994" s="10" t="str">
        <f t="shared" si="35"/>
        <v>protein_coding</v>
      </c>
      <c r="J994" s="14"/>
    </row>
    <row r="995" spans="1:10" x14ac:dyDescent="0.2">
      <c r="A995" s="10" t="str">
        <f>"ENSG00000050165.17"</f>
        <v>ENSG00000050165.17</v>
      </c>
      <c r="B995" s="10">
        <v>-2.6777039327368199</v>
      </c>
      <c r="C995" s="10">
        <v>0.159247510173052</v>
      </c>
      <c r="D995" s="10">
        <v>16.8037044133624</v>
      </c>
      <c r="E995" s="10">
        <v>3.3521210426401601E-3</v>
      </c>
      <c r="F995" s="10" t="str">
        <f>"DKK3"</f>
        <v>DKK3</v>
      </c>
      <c r="G995" s="10" t="str">
        <f t="shared" si="35"/>
        <v>protein_coding</v>
      </c>
      <c r="J995" s="14"/>
    </row>
    <row r="996" spans="1:10" x14ac:dyDescent="0.2">
      <c r="A996" s="10" t="str">
        <f>"ENSG00000175868.14"</f>
        <v>ENSG00000175868.14</v>
      </c>
      <c r="B996" s="10">
        <v>-3.15398234623198</v>
      </c>
      <c r="C996" s="10">
        <v>-1.5982317413003799</v>
      </c>
      <c r="D996" s="10">
        <v>15.5011257781351</v>
      </c>
      <c r="E996" s="10">
        <v>4.1074423693199698E-3</v>
      </c>
      <c r="F996" s="10" t="str">
        <f>"CALCB"</f>
        <v>CALCB</v>
      </c>
      <c r="G996" s="10" t="str">
        <f t="shared" si="35"/>
        <v>protein_coding</v>
      </c>
      <c r="J996" s="14"/>
    </row>
    <row r="997" spans="1:10" x14ac:dyDescent="0.2">
      <c r="A997" s="10" t="str">
        <f>"ENSG00000110693.17"</f>
        <v>ENSG00000110693.17</v>
      </c>
      <c r="B997" s="10">
        <v>1.14650503798184</v>
      </c>
      <c r="C997" s="10">
        <v>3.2344478615610899</v>
      </c>
      <c r="D997" s="10">
        <v>12.967088549356101</v>
      </c>
      <c r="E997" s="10">
        <v>6.8304790735695502E-3</v>
      </c>
      <c r="F997" s="10" t="str">
        <f>"SOX6"</f>
        <v>SOX6</v>
      </c>
      <c r="G997" s="10" t="str">
        <f t="shared" si="35"/>
        <v>protein_coding</v>
      </c>
      <c r="J997" s="14"/>
    </row>
    <row r="998" spans="1:10" x14ac:dyDescent="0.2">
      <c r="A998" s="10" t="str">
        <f>"ENSG00000179817.5"</f>
        <v>ENSG00000179817.5</v>
      </c>
      <c r="B998" s="10">
        <v>2.1812877811256901</v>
      </c>
      <c r="C998" s="10">
        <v>-1.0103257502058201</v>
      </c>
      <c r="D998" s="10">
        <v>8.6953777585874903</v>
      </c>
      <c r="E998" s="10">
        <v>1.8211149111373399E-2</v>
      </c>
      <c r="F998" s="10" t="str">
        <f>"MRGPRX4"</f>
        <v>MRGPRX4</v>
      </c>
      <c r="G998" s="10" t="str">
        <f t="shared" si="35"/>
        <v>protein_coding</v>
      </c>
      <c r="J998" s="14"/>
    </row>
    <row r="999" spans="1:10" x14ac:dyDescent="0.2">
      <c r="A999" s="10" t="str">
        <f>"ENSG00000110756.17"</f>
        <v>ENSG00000110756.17</v>
      </c>
      <c r="B999" s="10">
        <v>-1.2115851327331899</v>
      </c>
      <c r="C999" s="10">
        <v>5.5298005791470501</v>
      </c>
      <c r="D999" s="10">
        <v>35.083532571301603</v>
      </c>
      <c r="E999" s="10">
        <v>3.22097086330362E-4</v>
      </c>
      <c r="F999" s="10" t="str">
        <f>"HPS5"</f>
        <v>HPS5</v>
      </c>
      <c r="G999" s="10" t="str">
        <f t="shared" si="35"/>
        <v>protein_coding</v>
      </c>
      <c r="J999" s="14"/>
    </row>
    <row r="1000" spans="1:10" x14ac:dyDescent="0.2">
      <c r="A1000" s="10" t="str">
        <f>"ENSG00000148935.11"</f>
        <v>ENSG00000148935.11</v>
      </c>
      <c r="B1000" s="10">
        <v>2.0901820285881101</v>
      </c>
      <c r="C1000" s="10">
        <v>3.4226031208248302</v>
      </c>
      <c r="D1000" s="10">
        <v>10.7315828794822</v>
      </c>
      <c r="E1000" s="10">
        <v>1.10669773060158E-2</v>
      </c>
      <c r="F1000" s="10" t="str">
        <f>"GAS2"</f>
        <v>GAS2</v>
      </c>
      <c r="G1000" s="10" t="str">
        <f t="shared" si="35"/>
        <v>protein_coding</v>
      </c>
      <c r="J1000" s="14"/>
    </row>
    <row r="1001" spans="1:10" x14ac:dyDescent="0.2">
      <c r="A1001" s="10" t="str">
        <f>"ENSG00000198168.9"</f>
        <v>ENSG00000198168.9</v>
      </c>
      <c r="B1001" s="10">
        <v>1.1731257125927601</v>
      </c>
      <c r="C1001" s="10">
        <v>3.91273419628385</v>
      </c>
      <c r="D1001" s="10">
        <v>6.5635467101763396</v>
      </c>
      <c r="E1001" s="10">
        <v>3.3215808675931602E-2</v>
      </c>
      <c r="F1001" s="10" t="str">
        <f>"SVIP"</f>
        <v>SVIP</v>
      </c>
      <c r="G1001" s="10" t="str">
        <f t="shared" si="35"/>
        <v>protein_coding</v>
      </c>
      <c r="J1001" s="14"/>
    </row>
    <row r="1002" spans="1:10" x14ac:dyDescent="0.2">
      <c r="A1002" s="10" t="str">
        <f>"ENSG00000228061.6"</f>
        <v>ENSG00000228061.6</v>
      </c>
      <c r="B1002" s="10">
        <v>1.6741789974671299</v>
      </c>
      <c r="C1002" s="10">
        <v>-1.7806234189302199</v>
      </c>
      <c r="D1002" s="10">
        <v>6.0821964373491699</v>
      </c>
      <c r="E1002" s="10">
        <v>3.8119050757967503E-2</v>
      </c>
      <c r="F1002" s="10" t="str">
        <f>"AC131571.1"</f>
        <v>AC131571.1</v>
      </c>
      <c r="G1002" s="10" t="str">
        <f>"antisense"</f>
        <v>antisense</v>
      </c>
      <c r="J1002" s="14"/>
    </row>
    <row r="1003" spans="1:10" x14ac:dyDescent="0.2">
      <c r="A1003" s="10" t="str">
        <f>"ENSG00000007372.22"</f>
        <v>ENSG00000007372.22</v>
      </c>
      <c r="B1003" s="10">
        <v>2.44614606664349</v>
      </c>
      <c r="C1003" s="10">
        <v>3.91381889813489</v>
      </c>
      <c r="D1003" s="10">
        <v>113.383789765625</v>
      </c>
      <c r="E1003" s="13">
        <v>4.2423793431158897E-6</v>
      </c>
      <c r="F1003" s="10" t="str">
        <f>"PAX6"</f>
        <v>PAX6</v>
      </c>
      <c r="G1003" s="10" t="str">
        <f>"protein_coding"</f>
        <v>protein_coding</v>
      </c>
      <c r="J1003" s="14"/>
    </row>
    <row r="1004" spans="1:10" x14ac:dyDescent="0.2">
      <c r="A1004" s="10" t="str">
        <f>"ENSG00000281880.2"</f>
        <v>ENSG00000281880.2</v>
      </c>
      <c r="B1004" s="10">
        <v>1.9145831968637499</v>
      </c>
      <c r="C1004" s="10">
        <v>-0.92586494440590505</v>
      </c>
      <c r="D1004" s="10">
        <v>6.8123363639876198</v>
      </c>
      <c r="E1004" s="10">
        <v>3.08088707238558E-2</v>
      </c>
      <c r="F1004" s="10" t="str">
        <f>"PAUPAR"</f>
        <v>PAUPAR</v>
      </c>
      <c r="G1004" s="10" t="str">
        <f>"processed_transcript"</f>
        <v>processed_transcript</v>
      </c>
      <c r="J1004" s="14"/>
    </row>
    <row r="1005" spans="1:10" x14ac:dyDescent="0.2">
      <c r="A1005" s="10" t="str">
        <f>"ENSG00000121691.6"</f>
        <v>ENSG00000121691.6</v>
      </c>
      <c r="B1005" s="10">
        <v>1.3457080461947</v>
      </c>
      <c r="C1005" s="10">
        <v>6.6471626969211099</v>
      </c>
      <c r="D1005" s="10">
        <v>25.253675641963198</v>
      </c>
      <c r="E1005" s="10">
        <v>9.8284398069294304E-4</v>
      </c>
      <c r="F1005" s="10" t="str">
        <f>"CAT"</f>
        <v>CAT</v>
      </c>
      <c r="G1005" s="10" t="str">
        <f t="shared" ref="G1005:G1012" si="36">"protein_coding"</f>
        <v>protein_coding</v>
      </c>
      <c r="J1005" s="14"/>
    </row>
    <row r="1006" spans="1:10" x14ac:dyDescent="0.2">
      <c r="A1006" s="10" t="str">
        <f>"ENSG00000135374.9"</f>
        <v>ENSG00000135374.9</v>
      </c>
      <c r="B1006" s="10">
        <v>2.4374572386672799</v>
      </c>
      <c r="C1006" s="10">
        <v>1.5286703218242399</v>
      </c>
      <c r="D1006" s="10">
        <v>45.597189783006897</v>
      </c>
      <c r="E1006" s="10">
        <v>1.3667311998246301E-4</v>
      </c>
      <c r="F1006" s="10" t="str">
        <f>"ELF5"</f>
        <v>ELF5</v>
      </c>
      <c r="G1006" s="10" t="str">
        <f t="shared" si="36"/>
        <v>protein_coding</v>
      </c>
      <c r="J1006" s="14"/>
    </row>
    <row r="1007" spans="1:10" x14ac:dyDescent="0.2">
      <c r="A1007" s="10" t="str">
        <f>"ENSG00000179241.13"</f>
        <v>ENSG00000179241.13</v>
      </c>
      <c r="B1007" s="10">
        <v>-1.30712445944887</v>
      </c>
      <c r="C1007" s="10">
        <v>2.0850539726488999</v>
      </c>
      <c r="D1007" s="10">
        <v>21.6817414613922</v>
      </c>
      <c r="E1007" s="10">
        <v>1.50908977724452E-3</v>
      </c>
      <c r="F1007" s="10" t="str">
        <f>"LDLRAD3"</f>
        <v>LDLRAD3</v>
      </c>
      <c r="G1007" s="10" t="str">
        <f t="shared" si="36"/>
        <v>protein_coding</v>
      </c>
      <c r="J1007" s="14"/>
    </row>
    <row r="1008" spans="1:10" x14ac:dyDescent="0.2">
      <c r="A1008" s="10" t="str">
        <f>"ENSG00000135362.14"</f>
        <v>ENSG00000135362.14</v>
      </c>
      <c r="B1008" s="10">
        <v>-1.3640771909573</v>
      </c>
      <c r="C1008" s="10">
        <v>-0.74654519522471596</v>
      </c>
      <c r="D1008" s="10">
        <v>5.4350575379361104</v>
      </c>
      <c r="E1008" s="10">
        <v>4.76837684617765E-2</v>
      </c>
      <c r="F1008" s="10" t="str">
        <f>"PRR5L"</f>
        <v>PRR5L</v>
      </c>
      <c r="G1008" s="10" t="str">
        <f t="shared" si="36"/>
        <v>protein_coding</v>
      </c>
      <c r="J1008" s="14"/>
    </row>
    <row r="1009" spans="1:10" x14ac:dyDescent="0.2">
      <c r="A1009" s="10" t="str">
        <f>"ENSG00000052850.7"</f>
        <v>ENSG00000052850.7</v>
      </c>
      <c r="B1009" s="10">
        <v>-1.62382468375214</v>
      </c>
      <c r="C1009" s="10">
        <v>-1.6666629403883599</v>
      </c>
      <c r="D1009" s="10">
        <v>5.4097850926975299</v>
      </c>
      <c r="E1009" s="10">
        <v>4.7581037844199502E-2</v>
      </c>
      <c r="F1009" s="10" t="str">
        <f>"ALX4"</f>
        <v>ALX4</v>
      </c>
      <c r="G1009" s="10" t="str">
        <f t="shared" si="36"/>
        <v>protein_coding</v>
      </c>
      <c r="J1009" s="14"/>
    </row>
    <row r="1010" spans="1:10" x14ac:dyDescent="0.2">
      <c r="A1010" s="10" t="str">
        <f>"ENSG00000157570.11"</f>
        <v>ENSG00000157570.11</v>
      </c>
      <c r="B1010" s="10">
        <v>-2.19160451727705</v>
      </c>
      <c r="C1010" s="10">
        <v>2.5477813795718198</v>
      </c>
      <c r="D1010" s="10">
        <v>6.8981893341848002</v>
      </c>
      <c r="E1010" s="10">
        <v>3.00297344557999E-2</v>
      </c>
      <c r="F1010" s="10" t="str">
        <f>"TSPAN18"</f>
        <v>TSPAN18</v>
      </c>
      <c r="G1010" s="10" t="str">
        <f t="shared" si="36"/>
        <v>protein_coding</v>
      </c>
      <c r="J1010" s="14"/>
    </row>
    <row r="1011" spans="1:10" x14ac:dyDescent="0.2">
      <c r="A1011" s="10" t="str">
        <f>"ENSG00000110492.15"</f>
        <v>ENSG00000110492.15</v>
      </c>
      <c r="B1011" s="10">
        <v>-1.18373015960449</v>
      </c>
      <c r="C1011" s="10">
        <v>8.7957940516197102</v>
      </c>
      <c r="D1011" s="10">
        <v>17.111928152090002</v>
      </c>
      <c r="E1011" s="10">
        <v>3.18218613597635E-3</v>
      </c>
      <c r="F1011" s="10" t="str">
        <f>"MDK"</f>
        <v>MDK</v>
      </c>
      <c r="G1011" s="10" t="str">
        <f t="shared" si="36"/>
        <v>protein_coding</v>
      </c>
      <c r="J1011" s="14"/>
    </row>
    <row r="1012" spans="1:10" x14ac:dyDescent="0.2">
      <c r="A1012" s="10" t="str">
        <f>"ENSG00000180720.7"</f>
        <v>ENSG00000180720.7</v>
      </c>
      <c r="B1012" s="10">
        <v>-3.0441214891659998</v>
      </c>
      <c r="C1012" s="10">
        <v>1.0530624196590399</v>
      </c>
      <c r="D1012" s="10">
        <v>35.065922826822899</v>
      </c>
      <c r="E1012" s="10">
        <v>3.36614932587975E-4</v>
      </c>
      <c r="F1012" s="10" t="str">
        <f>"CHRM4"</f>
        <v>CHRM4</v>
      </c>
      <c r="G1012" s="10" t="str">
        <f t="shared" si="36"/>
        <v>protein_coding</v>
      </c>
      <c r="J1012" s="14"/>
    </row>
    <row r="1013" spans="1:10" x14ac:dyDescent="0.2">
      <c r="A1013" s="10" t="str">
        <f>"ENSG00000247675.6"</f>
        <v>ENSG00000247675.6</v>
      </c>
      <c r="B1013" s="10">
        <v>-1.6774947821069199</v>
      </c>
      <c r="C1013" s="10">
        <v>-0.458026755414084</v>
      </c>
      <c r="D1013" s="10">
        <v>12.704339314555501</v>
      </c>
      <c r="E1013" s="10">
        <v>7.1170332217664603E-3</v>
      </c>
      <c r="F1013" s="10" t="str">
        <f>"LRP4-AS1"</f>
        <v>LRP4-AS1</v>
      </c>
      <c r="G1013" s="10" t="str">
        <f>"antisense"</f>
        <v>antisense</v>
      </c>
      <c r="J1013" s="14"/>
    </row>
    <row r="1014" spans="1:10" x14ac:dyDescent="0.2">
      <c r="A1014" s="10" t="str">
        <f>"ENSG00000149131.15"</f>
        <v>ENSG00000149131.15</v>
      </c>
      <c r="B1014" s="10">
        <v>-1.19399439341798</v>
      </c>
      <c r="C1014" s="10">
        <v>1.8171338944420099</v>
      </c>
      <c r="D1014" s="10">
        <v>6.2866820498465001</v>
      </c>
      <c r="E1014" s="10">
        <v>3.6181324390317897E-2</v>
      </c>
      <c r="F1014" s="10" t="str">
        <f>"SERPING1"</f>
        <v>SERPING1</v>
      </c>
      <c r="G1014" s="10" t="str">
        <f>"protein_coding"</f>
        <v>protein_coding</v>
      </c>
      <c r="J1014" s="14"/>
    </row>
    <row r="1015" spans="1:10" x14ac:dyDescent="0.2">
      <c r="A1015" s="10" t="str">
        <f>"ENSG00000254602.1"</f>
        <v>ENSG00000254602.1</v>
      </c>
      <c r="B1015" s="10">
        <v>-1.84165143691513</v>
      </c>
      <c r="C1015" s="10">
        <v>-1.37674045083347</v>
      </c>
      <c r="D1015" s="10">
        <v>10.1258077433269</v>
      </c>
      <c r="E1015" s="10">
        <v>1.24769322392343E-2</v>
      </c>
      <c r="F1015" s="10" t="str">
        <f>"AP000662.1"</f>
        <v>AP000662.1</v>
      </c>
      <c r="G1015" s="10" t="str">
        <f>"sense_overlapping"</f>
        <v>sense_overlapping</v>
      </c>
      <c r="J1015" s="14"/>
    </row>
    <row r="1016" spans="1:10" x14ac:dyDescent="0.2">
      <c r="A1016" s="10" t="str">
        <f>"ENSG00000183134.5"</f>
        <v>ENSG00000183134.5</v>
      </c>
      <c r="B1016" s="10">
        <v>2.2237640029890899</v>
      </c>
      <c r="C1016" s="10">
        <v>1.6995121111829601</v>
      </c>
      <c r="D1016" s="10">
        <v>39.841050717861997</v>
      </c>
      <c r="E1016" s="10">
        <v>2.18152798693423E-4</v>
      </c>
      <c r="F1016" s="10" t="str">
        <f>"PTGDR2"</f>
        <v>PTGDR2</v>
      </c>
      <c r="G1016" s="10" t="str">
        <f>"protein_coding"</f>
        <v>protein_coding</v>
      </c>
      <c r="J1016" s="14"/>
    </row>
    <row r="1017" spans="1:10" x14ac:dyDescent="0.2">
      <c r="A1017" s="10" t="str">
        <f>"ENSG00000013725.14"</f>
        <v>ENSG00000013725.14</v>
      </c>
      <c r="B1017" s="10">
        <v>-2.0437219114882899</v>
      </c>
      <c r="C1017" s="10">
        <v>-1.88803172338597</v>
      </c>
      <c r="D1017" s="10">
        <v>8.7250314446009405</v>
      </c>
      <c r="E1017" s="10">
        <v>1.7739536459433498E-2</v>
      </c>
      <c r="F1017" s="10" t="str">
        <f>"CD6"</f>
        <v>CD6</v>
      </c>
      <c r="G1017" s="10" t="str">
        <f>"protein_coding"</f>
        <v>protein_coding</v>
      </c>
      <c r="J1017" s="14"/>
    </row>
    <row r="1018" spans="1:10" x14ac:dyDescent="0.2">
      <c r="A1018" s="10" t="str">
        <f>"ENSG00000256713.7"</f>
        <v>ENSG00000256713.7</v>
      </c>
      <c r="B1018" s="10">
        <v>-1.05776909279457</v>
      </c>
      <c r="C1018" s="10">
        <v>-0.84897144643346401</v>
      </c>
      <c r="D1018" s="10">
        <v>5.5933764309809098</v>
      </c>
      <c r="E1018" s="10">
        <v>4.4727386101590501E-2</v>
      </c>
      <c r="F1018" s="10" t="str">
        <f>"PGA5"</f>
        <v>PGA5</v>
      </c>
      <c r="G1018" s="10" t="str">
        <f>"protein_coding"</f>
        <v>protein_coding</v>
      </c>
      <c r="J1018" s="14"/>
    </row>
    <row r="1019" spans="1:10" x14ac:dyDescent="0.2">
      <c r="A1019" s="10" t="str">
        <f>"ENSG00000149476.15"</f>
        <v>ENSG00000149476.15</v>
      </c>
      <c r="B1019" s="10">
        <v>1.0829669660396699</v>
      </c>
      <c r="C1019" s="10">
        <v>5.12078643393893</v>
      </c>
      <c r="D1019" s="10">
        <v>26.056878435876399</v>
      </c>
      <c r="E1019" s="10">
        <v>8.8144409617788998E-4</v>
      </c>
      <c r="F1019" s="10" t="str">
        <f>"TKFC"</f>
        <v>TKFC</v>
      </c>
      <c r="G1019" s="10" t="str">
        <f>"protein_coding"</f>
        <v>protein_coding</v>
      </c>
      <c r="J1019" s="14"/>
    </row>
    <row r="1020" spans="1:10" x14ac:dyDescent="0.2">
      <c r="A1020" s="10" t="str">
        <f>"ENSG00000011347.9"</f>
        <v>ENSG00000011347.9</v>
      </c>
      <c r="B1020" s="10">
        <v>-1.4919124740952201</v>
      </c>
      <c r="C1020" s="10">
        <v>2.6759216559369801</v>
      </c>
      <c r="D1020" s="10">
        <v>23.179093999123101</v>
      </c>
      <c r="E1020" s="10">
        <v>1.28530251629632E-3</v>
      </c>
      <c r="F1020" s="10" t="str">
        <f>"SYT7"</f>
        <v>SYT7</v>
      </c>
      <c r="G1020" s="10" t="str">
        <f>"protein_coding"</f>
        <v>protein_coding</v>
      </c>
      <c r="J1020" s="14"/>
    </row>
    <row r="1021" spans="1:10" x14ac:dyDescent="0.2">
      <c r="A1021" s="10" t="str">
        <f>"ENSG00000243742.5"</f>
        <v>ENSG00000243742.5</v>
      </c>
      <c r="B1021" s="10">
        <v>-1.0098775862868401</v>
      </c>
      <c r="C1021" s="10">
        <v>0.648279700408667</v>
      </c>
      <c r="D1021" s="10">
        <v>7.2458680898500996</v>
      </c>
      <c r="E1021" s="10">
        <v>2.7086773713008001E-2</v>
      </c>
      <c r="F1021" s="10" t="str">
        <f>"RPLP0P2"</f>
        <v>RPLP0P2</v>
      </c>
      <c r="G1021" s="10" t="str">
        <f>"transcribed_processed_pseudogene"</f>
        <v>transcribed_processed_pseudogene</v>
      </c>
      <c r="J1021" s="14"/>
    </row>
    <row r="1022" spans="1:10" x14ac:dyDescent="0.2">
      <c r="A1022" s="10" t="str">
        <f>"ENSG00000124915.10"</f>
        <v>ENSG00000124915.10</v>
      </c>
      <c r="B1022" s="10">
        <v>1.6307586220211301</v>
      </c>
      <c r="C1022" s="10">
        <v>-1.01190747593552</v>
      </c>
      <c r="D1022" s="10">
        <v>9.7893239750766305</v>
      </c>
      <c r="E1022" s="10">
        <v>1.3539404085628801E-2</v>
      </c>
      <c r="F1022" s="10" t="str">
        <f>"AP002380.1"</f>
        <v>AP002380.1</v>
      </c>
      <c r="G1022" s="10" t="str">
        <f>"lincRNA"</f>
        <v>lincRNA</v>
      </c>
      <c r="J1022" s="14"/>
    </row>
    <row r="1023" spans="1:10" x14ac:dyDescent="0.2">
      <c r="A1023" s="10" t="str">
        <f>"ENSG00000134824.14"</f>
        <v>ENSG00000134824.14</v>
      </c>
      <c r="B1023" s="10">
        <v>-1.2636970374493399</v>
      </c>
      <c r="C1023" s="10">
        <v>4.6961947503689796</v>
      </c>
      <c r="D1023" s="10">
        <v>30.303456620137801</v>
      </c>
      <c r="E1023" s="10">
        <v>5.4654720264124296E-4</v>
      </c>
      <c r="F1023" s="10" t="str">
        <f>"FADS2"</f>
        <v>FADS2</v>
      </c>
      <c r="G1023" s="10" t="str">
        <f>"protein_coding"</f>
        <v>protein_coding</v>
      </c>
      <c r="J1023" s="14"/>
    </row>
    <row r="1024" spans="1:10" x14ac:dyDescent="0.2">
      <c r="A1024" s="10" t="str">
        <f>"ENSG00000124935.4"</f>
        <v>ENSG00000124935.4</v>
      </c>
      <c r="B1024" s="10">
        <v>-2.58069456712678</v>
      </c>
      <c r="C1024" s="10">
        <v>-1.34658669162192</v>
      </c>
      <c r="D1024" s="10">
        <v>7.5388891821847404</v>
      </c>
      <c r="E1024" s="10">
        <v>2.4935667401762798E-2</v>
      </c>
      <c r="F1024" s="10" t="str">
        <f>"SCGB1D2"</f>
        <v>SCGB1D2</v>
      </c>
      <c r="G1024" s="10" t="str">
        <f>"protein_coding"</f>
        <v>protein_coding</v>
      </c>
      <c r="J1024" s="14"/>
    </row>
    <row r="1025" spans="1:10" x14ac:dyDescent="0.2">
      <c r="A1025" s="10" t="str">
        <f>"ENSG00000176485.11"</f>
        <v>ENSG00000176485.11</v>
      </c>
      <c r="B1025" s="10">
        <v>2.0488286281923802</v>
      </c>
      <c r="C1025" s="10">
        <v>2.40896377881579</v>
      </c>
      <c r="D1025" s="10">
        <v>14.60432069552</v>
      </c>
      <c r="E1025" s="10">
        <v>4.96265579729252E-3</v>
      </c>
      <c r="F1025" s="10" t="str">
        <f>"PLA2G16"</f>
        <v>PLA2G16</v>
      </c>
      <c r="G1025" s="10" t="str">
        <f>"protein_coding"</f>
        <v>protein_coding</v>
      </c>
      <c r="J1025" s="14"/>
    </row>
    <row r="1026" spans="1:10" x14ac:dyDescent="0.2">
      <c r="A1026" s="10" t="str">
        <f>"ENSG00000278952.1"</f>
        <v>ENSG00000278952.1</v>
      </c>
      <c r="B1026" s="10">
        <v>-1.70941816849817</v>
      </c>
      <c r="C1026" s="10">
        <v>-0.43327961059827103</v>
      </c>
      <c r="D1026" s="10">
        <v>7.47529417945365</v>
      </c>
      <c r="E1026" s="10">
        <v>2.5389866337205101E-2</v>
      </c>
      <c r="F1026" s="10" t="str">
        <f>"AP003068.4"</f>
        <v>AP003068.4</v>
      </c>
      <c r="G1026" s="10" t="str">
        <f>"TEC"</f>
        <v>TEC</v>
      </c>
      <c r="J1026" s="14"/>
    </row>
    <row r="1027" spans="1:10" x14ac:dyDescent="0.2">
      <c r="A1027" s="10" t="str">
        <f>"ENSG00000197847.12"</f>
        <v>ENSG00000197847.12</v>
      </c>
      <c r="B1027" s="10">
        <v>-1.2862109277111</v>
      </c>
      <c r="C1027" s="10">
        <v>0.57374383790720695</v>
      </c>
      <c r="D1027" s="10">
        <v>11.8413678569901</v>
      </c>
      <c r="E1027" s="10">
        <v>8.5615710598625303E-3</v>
      </c>
      <c r="F1027" s="10" t="str">
        <f>"SLC22A20P"</f>
        <v>SLC22A20P</v>
      </c>
      <c r="G1027" s="10" t="str">
        <f>"transcribed_unitary_pseudogene"</f>
        <v>transcribed_unitary_pseudogene</v>
      </c>
      <c r="J1027" s="14"/>
    </row>
    <row r="1028" spans="1:10" x14ac:dyDescent="0.2">
      <c r="A1028" s="10" t="str">
        <f>"ENSG00000245532.8"</f>
        <v>ENSG00000245532.8</v>
      </c>
      <c r="B1028" s="10">
        <v>1.05729288426892</v>
      </c>
      <c r="C1028" s="10">
        <v>10.361068754098399</v>
      </c>
      <c r="D1028" s="10">
        <v>9.96198604981854</v>
      </c>
      <c r="E1028" s="10">
        <v>1.32609032343231E-2</v>
      </c>
      <c r="F1028" s="10" t="str">
        <f>"NEAT1"</f>
        <v>NEAT1</v>
      </c>
      <c r="G1028" s="10" t="str">
        <f>"lincRNA"</f>
        <v>lincRNA</v>
      </c>
      <c r="J1028" s="14"/>
    </row>
    <row r="1029" spans="1:10" x14ac:dyDescent="0.2">
      <c r="A1029" s="10" t="str">
        <f>"ENSG00000175294.5"</f>
        <v>ENSG00000175294.5</v>
      </c>
      <c r="B1029" s="10">
        <v>1.05100689526255</v>
      </c>
      <c r="C1029" s="10">
        <v>-0.439845680589532</v>
      </c>
      <c r="D1029" s="10">
        <v>7.2992113418895999</v>
      </c>
      <c r="E1029" s="10">
        <v>2.63014501782491E-2</v>
      </c>
      <c r="F1029" s="10" t="str">
        <f>"CATSPER1"</f>
        <v>CATSPER1</v>
      </c>
      <c r="G1029" s="10" t="str">
        <f>"protein_coding"</f>
        <v>protein_coding</v>
      </c>
      <c r="J1029" s="14"/>
    </row>
    <row r="1030" spans="1:10" x14ac:dyDescent="0.2">
      <c r="A1030" s="10" t="str">
        <f>"ENSG00000179292.5"</f>
        <v>ENSG00000179292.5</v>
      </c>
      <c r="B1030" s="10">
        <v>-1.3310628662336299</v>
      </c>
      <c r="C1030" s="10">
        <v>0.40161080534339699</v>
      </c>
      <c r="D1030" s="10">
        <v>10.340192212013701</v>
      </c>
      <c r="E1030" s="10">
        <v>1.2120494664846101E-2</v>
      </c>
      <c r="F1030" s="10" t="str">
        <f>"TMEM151A"</f>
        <v>TMEM151A</v>
      </c>
      <c r="G1030" s="10" t="str">
        <f>"protein_coding"</f>
        <v>protein_coding</v>
      </c>
      <c r="J1030" s="14"/>
    </row>
    <row r="1031" spans="1:10" x14ac:dyDescent="0.2">
      <c r="A1031" s="10" t="str">
        <f>"ENSG00000173599.14"</f>
        <v>ENSG00000173599.14</v>
      </c>
      <c r="B1031" s="10">
        <v>1.09740634914901</v>
      </c>
      <c r="C1031" s="10">
        <v>5.7511903493167402</v>
      </c>
      <c r="D1031" s="10">
        <v>15.805967345354899</v>
      </c>
      <c r="E1031" s="10">
        <v>3.9860809628796496E-3</v>
      </c>
      <c r="F1031" s="10" t="str">
        <f>"PC"</f>
        <v>PC</v>
      </c>
      <c r="G1031" s="10" t="str">
        <f>"protein_coding"</f>
        <v>protein_coding</v>
      </c>
      <c r="J1031" s="14"/>
    </row>
    <row r="1032" spans="1:10" x14ac:dyDescent="0.2">
      <c r="A1032" s="10" t="str">
        <f>"ENSG00000250508.1"</f>
        <v>ENSG00000250508.1</v>
      </c>
      <c r="B1032" s="10">
        <v>2.4544970381396198</v>
      </c>
      <c r="C1032" s="10">
        <v>-9.6775289596559594E-2</v>
      </c>
      <c r="D1032" s="10">
        <v>12.5616690104453</v>
      </c>
      <c r="E1032" s="10">
        <v>7.4234472793676797E-3</v>
      </c>
      <c r="F1032" s="10" t="str">
        <f>"AP000808.1"</f>
        <v>AP000808.1</v>
      </c>
      <c r="G1032" s="10" t="str">
        <f>"lincRNA"</f>
        <v>lincRNA</v>
      </c>
      <c r="J1032" s="14"/>
    </row>
    <row r="1033" spans="1:10" x14ac:dyDescent="0.2">
      <c r="A1033" s="10" t="str">
        <f>"ENSG00000186642.16"</f>
        <v>ENSG00000186642.16</v>
      </c>
      <c r="B1033" s="10">
        <v>-1.8125285012926999</v>
      </c>
      <c r="C1033" s="10">
        <v>3.2042394394977798</v>
      </c>
      <c r="D1033" s="10">
        <v>7.7837935705160604</v>
      </c>
      <c r="E1033" s="10">
        <v>2.3279426430849199E-2</v>
      </c>
      <c r="F1033" s="10" t="str">
        <f>"PDE2A"</f>
        <v>PDE2A</v>
      </c>
      <c r="G1033" s="10" t="str">
        <f t="shared" ref="G1033:G1038" si="37">"protein_coding"</f>
        <v>protein_coding</v>
      </c>
      <c r="J1033" s="14"/>
    </row>
    <row r="1034" spans="1:10" x14ac:dyDescent="0.2">
      <c r="A1034" s="10" t="str">
        <f>"ENSG00000171631.14"</f>
        <v>ENSG00000171631.14</v>
      </c>
      <c r="B1034" s="10">
        <v>1.34146082713967</v>
      </c>
      <c r="C1034" s="10">
        <v>2.3454792943854299</v>
      </c>
      <c r="D1034" s="10">
        <v>6.7623375869377202</v>
      </c>
      <c r="E1034" s="10">
        <v>3.127441380156E-2</v>
      </c>
      <c r="F1034" s="10" t="str">
        <f>"P2RY6"</f>
        <v>P2RY6</v>
      </c>
      <c r="G1034" s="10" t="str">
        <f t="shared" si="37"/>
        <v>protein_coding</v>
      </c>
      <c r="J1034" s="14"/>
    </row>
    <row r="1035" spans="1:10" x14ac:dyDescent="0.2">
      <c r="A1035" s="10" t="str">
        <f>"ENSG00000021300.14"</f>
        <v>ENSG00000021300.14</v>
      </c>
      <c r="B1035" s="10">
        <v>1.0577790077347</v>
      </c>
      <c r="C1035" s="10">
        <v>5.3923968836865601</v>
      </c>
      <c r="D1035" s="10">
        <v>20.504844848955099</v>
      </c>
      <c r="E1035" s="10">
        <v>1.8693542342134201E-3</v>
      </c>
      <c r="F1035" s="10" t="str">
        <f>"PLEKHB1"</f>
        <v>PLEKHB1</v>
      </c>
      <c r="G1035" s="10" t="str">
        <f t="shared" si="37"/>
        <v>protein_coding</v>
      </c>
      <c r="J1035" s="14"/>
    </row>
    <row r="1036" spans="1:10" x14ac:dyDescent="0.2">
      <c r="A1036" s="10" t="str">
        <f>"ENSG00000175538.10"</f>
        <v>ENSG00000175538.10</v>
      </c>
      <c r="B1036" s="10">
        <v>2.7440295603743201</v>
      </c>
      <c r="C1036" s="10">
        <v>0.57250379924241501</v>
      </c>
      <c r="D1036" s="10">
        <v>25.054311457426099</v>
      </c>
      <c r="E1036" s="10">
        <v>1.0077443632873001E-3</v>
      </c>
      <c r="F1036" s="10" t="str">
        <f>"KCNE3"</f>
        <v>KCNE3</v>
      </c>
      <c r="G1036" s="10" t="str">
        <f t="shared" si="37"/>
        <v>protein_coding</v>
      </c>
      <c r="J1036" s="14"/>
    </row>
    <row r="1037" spans="1:10" x14ac:dyDescent="0.2">
      <c r="A1037" s="10" t="str">
        <f>"ENSG00000137491.14"</f>
        <v>ENSG00000137491.14</v>
      </c>
      <c r="B1037" s="10">
        <v>1.83573176119327</v>
      </c>
      <c r="C1037" s="10">
        <v>4.29530554307693</v>
      </c>
      <c r="D1037" s="10">
        <v>31.000183191943901</v>
      </c>
      <c r="E1037" s="10">
        <v>5.0723373371591501E-4</v>
      </c>
      <c r="F1037" s="10" t="str">
        <f>"SLCO2B1"</f>
        <v>SLCO2B1</v>
      </c>
      <c r="G1037" s="10" t="str">
        <f t="shared" si="37"/>
        <v>protein_coding</v>
      </c>
      <c r="J1037" s="14"/>
    </row>
    <row r="1038" spans="1:10" x14ac:dyDescent="0.2">
      <c r="A1038" s="10" t="str">
        <f>"ENSG00000149243.15"</f>
        <v>ENSG00000149243.15</v>
      </c>
      <c r="B1038" s="10">
        <v>-1.9710247521908499</v>
      </c>
      <c r="C1038" s="10">
        <v>-1.1242351523353999</v>
      </c>
      <c r="D1038" s="10">
        <v>8.9890104333765795</v>
      </c>
      <c r="E1038" s="10">
        <v>1.6880449178133201E-2</v>
      </c>
      <c r="F1038" s="10" t="str">
        <f>"KLHL35"</f>
        <v>KLHL35</v>
      </c>
      <c r="G1038" s="10" t="str">
        <f t="shared" si="37"/>
        <v>protein_coding</v>
      </c>
      <c r="J1038" s="14"/>
    </row>
    <row r="1039" spans="1:10" x14ac:dyDescent="0.2">
      <c r="A1039" s="10" t="str">
        <f>"ENSG00000254933.1"</f>
        <v>ENSG00000254933.1</v>
      </c>
      <c r="B1039" s="10">
        <v>-2.2868328587299298</v>
      </c>
      <c r="C1039" s="10">
        <v>-1.1124945524708301</v>
      </c>
      <c r="D1039" s="10">
        <v>10.000078614767901</v>
      </c>
      <c r="E1039" s="10">
        <v>1.3140104457868699E-2</v>
      </c>
      <c r="F1039" s="10" t="str">
        <f>"AP000785.1"</f>
        <v>AP000785.1</v>
      </c>
      <c r="G1039" s="10" t="str">
        <f>"antisense"</f>
        <v>antisense</v>
      </c>
      <c r="J1039" s="14"/>
    </row>
    <row r="1040" spans="1:10" x14ac:dyDescent="0.2">
      <c r="A1040" s="10" t="str">
        <f>"ENSG00000255362.1"</f>
        <v>ENSG00000255362.1</v>
      </c>
      <c r="B1040" s="10">
        <v>-1.56348061850454</v>
      </c>
      <c r="C1040" s="10">
        <v>-1.37879149260806</v>
      </c>
      <c r="D1040" s="10">
        <v>5.53208944411963</v>
      </c>
      <c r="E1040" s="10">
        <v>4.6080363904645399E-2</v>
      </c>
      <c r="F1040" s="10" t="str">
        <f>"AP000785.2"</f>
        <v>AP000785.2</v>
      </c>
      <c r="G1040" s="10" t="str">
        <f>"lincRNA"</f>
        <v>lincRNA</v>
      </c>
      <c r="J1040" s="14"/>
    </row>
    <row r="1041" spans="1:10" x14ac:dyDescent="0.2">
      <c r="A1041" s="10" t="str">
        <f>"ENSG00000137513.10"</f>
        <v>ENSG00000137513.10</v>
      </c>
      <c r="B1041" s="10">
        <v>1.03338361521466</v>
      </c>
      <c r="C1041" s="10">
        <v>5.05258731569565</v>
      </c>
      <c r="D1041" s="10">
        <v>7.2321010893101203</v>
      </c>
      <c r="E1041" s="10">
        <v>2.72261243773462E-2</v>
      </c>
      <c r="F1041" s="10" t="str">
        <f>"NARS2"</f>
        <v>NARS2</v>
      </c>
      <c r="G1041" s="10" t="str">
        <f>"protein_coding"</f>
        <v>protein_coding</v>
      </c>
      <c r="J1041" s="14"/>
    </row>
    <row r="1042" spans="1:10" x14ac:dyDescent="0.2">
      <c r="A1042" s="10" t="str">
        <f>"ENSG00000280339.1"</f>
        <v>ENSG00000280339.1</v>
      </c>
      <c r="B1042" s="10">
        <v>1.79282402522145</v>
      </c>
      <c r="C1042" s="10">
        <v>-1.7270715889511401</v>
      </c>
      <c r="D1042" s="10">
        <v>5.8036315983700302</v>
      </c>
      <c r="E1042" s="10">
        <v>4.1997042095675202E-2</v>
      </c>
      <c r="F1042" s="10" t="str">
        <f>"AP001528.3"</f>
        <v>AP001528.3</v>
      </c>
      <c r="G1042" s="10" t="str">
        <f>"TEC"</f>
        <v>TEC</v>
      </c>
      <c r="J1042" s="14"/>
    </row>
    <row r="1043" spans="1:10" x14ac:dyDescent="0.2">
      <c r="A1043" s="10" t="str">
        <f>"ENSG00000166575.17"</f>
        <v>ENSG00000166575.17</v>
      </c>
      <c r="B1043" s="10">
        <v>1.21890816599225</v>
      </c>
      <c r="C1043" s="10">
        <v>6.3206562938132702</v>
      </c>
      <c r="D1043" s="10">
        <v>7.16499914716199</v>
      </c>
      <c r="E1043" s="10">
        <v>2.7762079607733199E-2</v>
      </c>
      <c r="F1043" s="10" t="str">
        <f>"TMEM135"</f>
        <v>TMEM135</v>
      </c>
      <c r="G1043" s="10" t="str">
        <f>"protein_coding"</f>
        <v>protein_coding</v>
      </c>
      <c r="J1043" s="14"/>
    </row>
    <row r="1044" spans="1:10" x14ac:dyDescent="0.2">
      <c r="A1044" s="10" t="str">
        <f>"ENSG00000077616.11"</f>
        <v>ENSG00000077616.11</v>
      </c>
      <c r="B1044" s="10">
        <v>1.2112320806869801</v>
      </c>
      <c r="C1044" s="10">
        <v>3.8226002587401302</v>
      </c>
      <c r="D1044" s="10">
        <v>10.453232648289699</v>
      </c>
      <c r="E1044" s="10">
        <v>1.18037536290938E-2</v>
      </c>
      <c r="F1044" s="10" t="str">
        <f>"NAALAD2"</f>
        <v>NAALAD2</v>
      </c>
      <c r="G1044" s="10" t="str">
        <f>"protein_coding"</f>
        <v>protein_coding</v>
      </c>
      <c r="J1044" s="14"/>
    </row>
    <row r="1045" spans="1:10" x14ac:dyDescent="0.2">
      <c r="A1045" s="10" t="str">
        <f>"ENSG00000261645.6"</f>
        <v>ENSG00000261645.6</v>
      </c>
      <c r="B1045" s="10">
        <v>2.0882924209479099</v>
      </c>
      <c r="C1045" s="10">
        <v>-0.121764055879028</v>
      </c>
      <c r="D1045" s="10">
        <v>23.1913438525849</v>
      </c>
      <c r="E1045" s="10">
        <v>1.2460139179230399E-3</v>
      </c>
      <c r="F1045" s="10" t="str">
        <f>"DISC1FP1"</f>
        <v>DISC1FP1</v>
      </c>
      <c r="G1045" s="10" t="str">
        <f>"processed_transcript"</f>
        <v>processed_transcript</v>
      </c>
      <c r="J1045" s="14"/>
    </row>
    <row r="1046" spans="1:10" x14ac:dyDescent="0.2">
      <c r="A1046" s="10" t="str">
        <f>"ENSG00000250519.6"</f>
        <v>ENSG00000250519.6</v>
      </c>
      <c r="B1046" s="10">
        <v>-2.1172089647935399</v>
      </c>
      <c r="C1046" s="10">
        <v>-1.84696059273236</v>
      </c>
      <c r="D1046" s="10">
        <v>7.6303071940805802</v>
      </c>
      <c r="E1046" s="10">
        <v>2.3916311300639901E-2</v>
      </c>
      <c r="F1046" s="10" t="str">
        <f>"AP002784.1"</f>
        <v>AP002784.1</v>
      </c>
      <c r="G1046" s="10" t="str">
        <f>"lincRNA"</f>
        <v>lincRNA</v>
      </c>
      <c r="J1046" s="14"/>
    </row>
    <row r="1047" spans="1:10" x14ac:dyDescent="0.2">
      <c r="A1047" s="10" t="str">
        <f>"ENSG00000149212.11"</f>
        <v>ENSG00000149212.11</v>
      </c>
      <c r="B1047" s="10">
        <v>-1.8265420305326101</v>
      </c>
      <c r="C1047" s="10">
        <v>4.1299896054653003</v>
      </c>
      <c r="D1047" s="10">
        <v>61.929997915745098</v>
      </c>
      <c r="E1047" s="13">
        <v>4.4680575807411997E-5</v>
      </c>
      <c r="F1047" s="10" t="str">
        <f>"SESN3"</f>
        <v>SESN3</v>
      </c>
      <c r="G1047" s="10" t="str">
        <f>"protein_coding"</f>
        <v>protein_coding</v>
      </c>
      <c r="J1047" s="14"/>
    </row>
    <row r="1048" spans="1:10" x14ac:dyDescent="0.2">
      <c r="A1048" s="10" t="str">
        <f>"ENSG00000184384.14"</f>
        <v>ENSG00000184384.14</v>
      </c>
      <c r="B1048" s="10">
        <v>1.78711907805543</v>
      </c>
      <c r="C1048" s="10">
        <v>5.1962143213085303</v>
      </c>
      <c r="D1048" s="10">
        <v>46.147406526377402</v>
      </c>
      <c r="E1048" s="10">
        <v>1.3105322103097801E-4</v>
      </c>
      <c r="F1048" s="10" t="str">
        <f>"MAML2"</f>
        <v>MAML2</v>
      </c>
      <c r="G1048" s="10" t="str">
        <f>"protein_coding"</f>
        <v>protein_coding</v>
      </c>
      <c r="J1048" s="14"/>
    </row>
    <row r="1049" spans="1:10" x14ac:dyDescent="0.2">
      <c r="A1049" s="10" t="str">
        <f>"ENSG00000137673.9"</f>
        <v>ENSG00000137673.9</v>
      </c>
      <c r="B1049" s="10">
        <v>2.76847117513103</v>
      </c>
      <c r="C1049" s="10">
        <v>0.40872801200725201</v>
      </c>
      <c r="D1049" s="10">
        <v>24.8987001273617</v>
      </c>
      <c r="E1049" s="10">
        <v>1.0277293580591899E-3</v>
      </c>
      <c r="F1049" s="10" t="str">
        <f>"MMP7"</f>
        <v>MMP7</v>
      </c>
      <c r="G1049" s="10" t="str">
        <f>"protein_coding"</f>
        <v>protein_coding</v>
      </c>
      <c r="J1049" s="14"/>
    </row>
    <row r="1050" spans="1:10" x14ac:dyDescent="0.2">
      <c r="A1050" s="10" t="str">
        <f>"ENSG00000196954.14"</f>
        <v>ENSG00000196954.14</v>
      </c>
      <c r="B1050" s="10">
        <v>1.1328606215702099</v>
      </c>
      <c r="C1050" s="10">
        <v>5.7606453469805601</v>
      </c>
      <c r="D1050" s="10">
        <v>14.2039692278441</v>
      </c>
      <c r="E1050" s="10">
        <v>5.3533078248146999E-3</v>
      </c>
      <c r="F1050" s="10" t="str">
        <f>"CASP4"</f>
        <v>CASP4</v>
      </c>
      <c r="G1050" s="10" t="str">
        <f>"protein_coding"</f>
        <v>protein_coding</v>
      </c>
      <c r="J1050" s="14"/>
    </row>
    <row r="1051" spans="1:10" x14ac:dyDescent="0.2">
      <c r="A1051" s="10" t="str">
        <f>"ENSG00000137752.24"</f>
        <v>ENSG00000137752.24</v>
      </c>
      <c r="B1051" s="10">
        <v>-1.0758271837560101</v>
      </c>
      <c r="C1051" s="10">
        <v>1.4392986978678199</v>
      </c>
      <c r="D1051" s="10">
        <v>7.8905676561831601</v>
      </c>
      <c r="E1051" s="10">
        <v>2.26008353964798E-2</v>
      </c>
      <c r="F1051" s="10" t="str">
        <f>"CASP1"</f>
        <v>CASP1</v>
      </c>
      <c r="G1051" s="10" t="str">
        <f>"protein_coding"</f>
        <v>protein_coding</v>
      </c>
      <c r="J1051" s="14"/>
    </row>
    <row r="1052" spans="1:10" x14ac:dyDescent="0.2">
      <c r="A1052" s="10" t="str">
        <f>"ENSG00000285813.1"</f>
        <v>ENSG00000285813.1</v>
      </c>
      <c r="B1052" s="10">
        <v>-1.0380642395981201</v>
      </c>
      <c r="C1052" s="10">
        <v>-0.71128269333052696</v>
      </c>
      <c r="D1052" s="10">
        <v>6.2241225202051398</v>
      </c>
      <c r="E1052" s="10">
        <v>3.6435213718134497E-2</v>
      </c>
      <c r="F1052" s="10" t="str">
        <f>"AP000813.1"</f>
        <v>AP000813.1</v>
      </c>
      <c r="G1052" s="10" t="str">
        <f>"antisense"</f>
        <v>antisense</v>
      </c>
      <c r="J1052" s="14"/>
    </row>
    <row r="1053" spans="1:10" x14ac:dyDescent="0.2">
      <c r="A1053" s="10" t="str">
        <f>"ENSG00000182359.15"</f>
        <v>ENSG00000182359.15</v>
      </c>
      <c r="B1053" s="10">
        <v>1.38851949293224</v>
      </c>
      <c r="C1053" s="10">
        <v>1.92251533923309</v>
      </c>
      <c r="D1053" s="10">
        <v>21.3744959737569</v>
      </c>
      <c r="E1053" s="10">
        <v>1.6026262830311901E-3</v>
      </c>
      <c r="F1053" s="10" t="str">
        <f>"KBTBD3"</f>
        <v>KBTBD3</v>
      </c>
      <c r="G1053" s="10" t="str">
        <f>"protein_coding"</f>
        <v>protein_coding</v>
      </c>
      <c r="J1053" s="14"/>
    </row>
    <row r="1054" spans="1:10" x14ac:dyDescent="0.2">
      <c r="A1054" s="10" t="str">
        <f>"ENSG00000152402.10"</f>
        <v>ENSG00000152402.10</v>
      </c>
      <c r="B1054" s="10">
        <v>-1.48322977369554</v>
      </c>
      <c r="C1054" s="10">
        <v>0.39027562942875899</v>
      </c>
      <c r="D1054" s="10">
        <v>17.4558085734202</v>
      </c>
      <c r="E1054" s="10">
        <v>2.89552111429156E-3</v>
      </c>
      <c r="F1054" s="10" t="str">
        <f>"GUCY1A2"</f>
        <v>GUCY1A2</v>
      </c>
      <c r="G1054" s="10" t="str">
        <f>"protein_coding"</f>
        <v>protein_coding</v>
      </c>
      <c r="J1054" s="14"/>
    </row>
    <row r="1055" spans="1:10" x14ac:dyDescent="0.2">
      <c r="A1055" s="10" t="str">
        <f>"ENSG00000110723.12"</f>
        <v>ENSG00000110723.12</v>
      </c>
      <c r="B1055" s="10">
        <v>-1.0353621032593201</v>
      </c>
      <c r="C1055" s="10">
        <v>-1.0002815508190601E-2</v>
      </c>
      <c r="D1055" s="10">
        <v>9.1540416030570206</v>
      </c>
      <c r="E1055" s="10">
        <v>1.5873473205957399E-2</v>
      </c>
      <c r="F1055" s="10" t="str">
        <f>"EXPH5"</f>
        <v>EXPH5</v>
      </c>
      <c r="G1055" s="10" t="str">
        <f>"protein_coding"</f>
        <v>protein_coding</v>
      </c>
      <c r="J1055" s="14"/>
    </row>
    <row r="1056" spans="1:10" x14ac:dyDescent="0.2">
      <c r="A1056" s="10" t="str">
        <f>"ENSG00000254416.5"</f>
        <v>ENSG00000254416.5</v>
      </c>
      <c r="B1056" s="10">
        <v>1.9711652966690301</v>
      </c>
      <c r="C1056" s="10">
        <v>0.90335269482161396</v>
      </c>
      <c r="D1056" s="10">
        <v>14.6172191516682</v>
      </c>
      <c r="E1056" s="10">
        <v>4.9506735495026101E-3</v>
      </c>
      <c r="F1056" s="10" t="str">
        <f>"AP000924.1"</f>
        <v>AP000924.1</v>
      </c>
      <c r="G1056" s="10" t="str">
        <f>"lincRNA"</f>
        <v>lincRNA</v>
      </c>
      <c r="J1056" s="14"/>
    </row>
    <row r="1057" spans="1:10" x14ac:dyDescent="0.2">
      <c r="A1057" s="10" t="str">
        <f>"ENSG00000214290.8"</f>
        <v>ENSG00000214290.8</v>
      </c>
      <c r="B1057" s="10">
        <v>1.1376441044447201</v>
      </c>
      <c r="C1057" s="10">
        <v>4.0991816321355801</v>
      </c>
      <c r="D1057" s="10">
        <v>6.1784365659562903</v>
      </c>
      <c r="E1057" s="10">
        <v>3.74315892145861E-2</v>
      </c>
      <c r="F1057" s="10" t="str">
        <f>"COLCA2"</f>
        <v>COLCA2</v>
      </c>
      <c r="G1057" s="10" t="str">
        <f>"protein_coding"</f>
        <v>protein_coding</v>
      </c>
      <c r="J1057" s="14"/>
    </row>
    <row r="1058" spans="1:10" x14ac:dyDescent="0.2">
      <c r="A1058" s="10" t="str">
        <f>"ENSG00000254990.5"</f>
        <v>ENSG00000254990.5</v>
      </c>
      <c r="B1058" s="10">
        <v>2.0015756972684402</v>
      </c>
      <c r="C1058" s="10">
        <v>1.2710262889417101</v>
      </c>
      <c r="D1058" s="10">
        <v>41.232006170202602</v>
      </c>
      <c r="E1058" s="10">
        <v>1.8021439907742401E-4</v>
      </c>
      <c r="F1058" s="10" t="str">
        <f>"AP001781.1"</f>
        <v>AP001781.1</v>
      </c>
      <c r="G1058" s="10" t="str">
        <f>"lincRNA"</f>
        <v>lincRNA</v>
      </c>
      <c r="J1058" s="14"/>
    </row>
    <row r="1059" spans="1:10" x14ac:dyDescent="0.2">
      <c r="A1059" s="10" t="str">
        <f>"ENSG00000149295.14"</f>
        <v>ENSG00000149295.14</v>
      </c>
      <c r="B1059" s="10">
        <v>-2.6949790611594699</v>
      </c>
      <c r="C1059" s="10">
        <v>-1.25780363296996</v>
      </c>
      <c r="D1059" s="10">
        <v>13.4252033558801</v>
      </c>
      <c r="E1059" s="10">
        <v>6.23005707316001E-3</v>
      </c>
      <c r="F1059" s="10" t="str">
        <f>"DRD2"</f>
        <v>DRD2</v>
      </c>
      <c r="G1059" s="10" t="str">
        <f>"protein_coding"</f>
        <v>protein_coding</v>
      </c>
      <c r="J1059" s="14"/>
    </row>
    <row r="1060" spans="1:10" x14ac:dyDescent="0.2">
      <c r="A1060" s="10" t="str">
        <f>"ENSG00000255710.2"</f>
        <v>ENSG00000255710.2</v>
      </c>
      <c r="B1060" s="10">
        <v>2.20543923911693</v>
      </c>
      <c r="C1060" s="10">
        <v>-1.69990955652438</v>
      </c>
      <c r="D1060" s="10">
        <v>5.7718703136834399</v>
      </c>
      <c r="E1060" s="10">
        <v>4.2646628300514001E-2</v>
      </c>
      <c r="F1060" s="10" t="str">
        <f>"AP003170.1"</f>
        <v>AP003170.1</v>
      </c>
      <c r="G1060" s="10" t="str">
        <f>"processed_pseudogene"</f>
        <v>processed_pseudogene</v>
      </c>
      <c r="J1060" s="14"/>
    </row>
    <row r="1061" spans="1:10" x14ac:dyDescent="0.2">
      <c r="A1061" s="10" t="str">
        <f>"ENSG00000180425.11"</f>
        <v>ENSG00000180425.11</v>
      </c>
      <c r="B1061" s="10">
        <v>1.1220318038225401</v>
      </c>
      <c r="C1061" s="10">
        <v>2.7546739984786699</v>
      </c>
      <c r="D1061" s="10">
        <v>7.7046070056089899</v>
      </c>
      <c r="E1061" s="10">
        <v>2.3799343220535799E-2</v>
      </c>
      <c r="F1061" s="10" t="str">
        <f>"C11orf71"</f>
        <v>C11orf71</v>
      </c>
      <c r="G1061" s="10" t="str">
        <f>"protein_coding"</f>
        <v>protein_coding</v>
      </c>
      <c r="J1061" s="14"/>
    </row>
    <row r="1062" spans="1:10" x14ac:dyDescent="0.2">
      <c r="A1062" s="10" t="str">
        <f>"ENSG00000255580.1"</f>
        <v>ENSG00000255580.1</v>
      </c>
      <c r="B1062" s="10">
        <v>-1.91957951344858</v>
      </c>
      <c r="C1062" s="10">
        <v>-1.7137727428946099</v>
      </c>
      <c r="D1062" s="10">
        <v>7.11201860371105</v>
      </c>
      <c r="E1062" s="10">
        <v>2.7782917577008001E-2</v>
      </c>
      <c r="F1062" s="10" t="str">
        <f>"AP000462.1"</f>
        <v>AP000462.1</v>
      </c>
      <c r="G1062" s="10" t="str">
        <f>"lincRNA"</f>
        <v>lincRNA</v>
      </c>
      <c r="J1062" s="14"/>
    </row>
    <row r="1063" spans="1:10" x14ac:dyDescent="0.2">
      <c r="A1063" s="10" t="str">
        <f>"ENSG00000237937.5"</f>
        <v>ENSG00000237937.5</v>
      </c>
      <c r="B1063" s="10">
        <v>-1.97192318842347</v>
      </c>
      <c r="C1063" s="10">
        <v>-0.750324645634591</v>
      </c>
      <c r="D1063" s="10">
        <v>13.7877049767997</v>
      </c>
      <c r="E1063" s="10">
        <v>5.7382959103624903E-3</v>
      </c>
      <c r="F1063" s="10" t="str">
        <f>"AP000770.1"</f>
        <v>AP000770.1</v>
      </c>
      <c r="G1063" s="10" t="str">
        <f>"lincRNA"</f>
        <v>lincRNA</v>
      </c>
      <c r="J1063" s="14"/>
    </row>
    <row r="1064" spans="1:10" x14ac:dyDescent="0.2">
      <c r="A1064" s="10" t="str">
        <f>"ENSG00000110244.7"</f>
        <v>ENSG00000110244.7</v>
      </c>
      <c r="B1064" s="10">
        <v>1.7911108856685301</v>
      </c>
      <c r="C1064" s="10">
        <v>1.04801419661281</v>
      </c>
      <c r="D1064" s="10">
        <v>6.7097668409454903</v>
      </c>
      <c r="E1064" s="10">
        <v>3.17735410201022E-2</v>
      </c>
      <c r="F1064" s="10" t="str">
        <f>"APOA4"</f>
        <v>APOA4</v>
      </c>
      <c r="G1064" s="10" t="str">
        <f>"protein_coding"</f>
        <v>protein_coding</v>
      </c>
      <c r="J1064" s="14"/>
    </row>
    <row r="1065" spans="1:10" x14ac:dyDescent="0.2">
      <c r="A1065" s="10" t="str">
        <f>"ENSG00000186318.16"</f>
        <v>ENSG00000186318.16</v>
      </c>
      <c r="B1065" s="10">
        <v>-1.0791435111748899</v>
      </c>
      <c r="C1065" s="10">
        <v>5.1744557294021396</v>
      </c>
      <c r="D1065" s="10">
        <v>11.738522033609099</v>
      </c>
      <c r="E1065" s="10">
        <v>8.8397966573171092E-3</v>
      </c>
      <c r="F1065" s="10" t="str">
        <f>"BACE1"</f>
        <v>BACE1</v>
      </c>
      <c r="G1065" s="10" t="str">
        <f>"protein_coding"</f>
        <v>protein_coding</v>
      </c>
      <c r="J1065" s="14"/>
    </row>
    <row r="1066" spans="1:10" x14ac:dyDescent="0.2">
      <c r="A1066" s="10" t="str">
        <f>"ENSG00000276505.1"</f>
        <v>ENSG00000276505.1</v>
      </c>
      <c r="B1066" s="10">
        <v>-1.36946556453888</v>
      </c>
      <c r="C1066" s="10">
        <v>-0.927976852566189</v>
      </c>
      <c r="D1066" s="10">
        <v>5.5628659079502798</v>
      </c>
      <c r="E1066" s="10">
        <v>4.5687641269012598E-2</v>
      </c>
      <c r="F1066" s="10" t="str">
        <f>"AP000892.2"</f>
        <v>AP000892.2</v>
      </c>
      <c r="G1066" s="10" t="str">
        <f>"sense_intronic"</f>
        <v>sense_intronic</v>
      </c>
      <c r="J1066" s="14"/>
    </row>
    <row r="1067" spans="1:10" x14ac:dyDescent="0.2">
      <c r="A1067" s="10" t="str">
        <f>"ENSG00000177103.14"</f>
        <v>ENSG00000177103.14</v>
      </c>
      <c r="B1067" s="10">
        <v>-1.58913381790283</v>
      </c>
      <c r="C1067" s="10">
        <v>1.80288079727206</v>
      </c>
      <c r="D1067" s="10">
        <v>16.790742296462899</v>
      </c>
      <c r="E1067" s="10">
        <v>3.3595131994345398E-3</v>
      </c>
      <c r="F1067" s="10" t="str">
        <f>"DSCAML1"</f>
        <v>DSCAML1</v>
      </c>
      <c r="G1067" s="10" t="str">
        <f>"protein_coding"</f>
        <v>protein_coding</v>
      </c>
      <c r="J1067" s="14"/>
    </row>
    <row r="1068" spans="1:10" x14ac:dyDescent="0.2">
      <c r="A1068" s="10" t="str">
        <f>"ENSG00000177098.8"</f>
        <v>ENSG00000177098.8</v>
      </c>
      <c r="B1068" s="10">
        <v>-1.35580957457588</v>
      </c>
      <c r="C1068" s="10">
        <v>2.2639165940643098</v>
      </c>
      <c r="D1068" s="10">
        <v>6.1197341149125997</v>
      </c>
      <c r="E1068" s="10">
        <v>3.81325433788662E-2</v>
      </c>
      <c r="F1068" s="10" t="str">
        <f>"SCN4B"</f>
        <v>SCN4B</v>
      </c>
      <c r="G1068" s="10" t="str">
        <f>"protein_coding"</f>
        <v>protein_coding</v>
      </c>
      <c r="J1068" s="14"/>
    </row>
    <row r="1069" spans="1:10" x14ac:dyDescent="0.2">
      <c r="A1069" s="10" t="str">
        <f>"ENSG00000160593.18"</f>
        <v>ENSG00000160593.18</v>
      </c>
      <c r="B1069" s="10">
        <v>1.73332500229863</v>
      </c>
      <c r="C1069" s="10">
        <v>2.8100907210791499</v>
      </c>
      <c r="D1069" s="10">
        <v>16.471817252614599</v>
      </c>
      <c r="E1069" s="10">
        <v>3.5479887326447701E-3</v>
      </c>
      <c r="F1069" s="10" t="str">
        <f>"JAML"</f>
        <v>JAML</v>
      </c>
      <c r="G1069" s="10" t="str">
        <f>"protein_coding"</f>
        <v>protein_coding</v>
      </c>
      <c r="J1069" s="14"/>
    </row>
    <row r="1070" spans="1:10" x14ac:dyDescent="0.2">
      <c r="A1070" s="10" t="str">
        <f>"ENSG00000149573.9"</f>
        <v>ENSG00000149573.9</v>
      </c>
      <c r="B1070" s="10">
        <v>1.9482929626604399</v>
      </c>
      <c r="C1070" s="10">
        <v>5.9041370016849202</v>
      </c>
      <c r="D1070" s="10">
        <v>13.105889697199199</v>
      </c>
      <c r="E1070" s="10">
        <v>6.6411899088764303E-3</v>
      </c>
      <c r="F1070" s="10" t="str">
        <f>"MPZL2"</f>
        <v>MPZL2</v>
      </c>
      <c r="G1070" s="10" t="str">
        <f>"protein_coding"</f>
        <v>protein_coding</v>
      </c>
      <c r="J1070" s="14"/>
    </row>
    <row r="1071" spans="1:10" x14ac:dyDescent="0.2">
      <c r="A1071" s="10" t="str">
        <f>"ENSG00000280032.1"</f>
        <v>ENSG00000280032.1</v>
      </c>
      <c r="B1071" s="10">
        <v>3.0218519537981399</v>
      </c>
      <c r="C1071" s="10">
        <v>-0.759793639015102</v>
      </c>
      <c r="D1071" s="10">
        <v>12.504448578089701</v>
      </c>
      <c r="E1071" s="10">
        <v>7.5122541177706E-3</v>
      </c>
      <c r="F1071" s="10" t="str">
        <f>"AP002800.1"</f>
        <v>AP002800.1</v>
      </c>
      <c r="G1071" s="10" t="str">
        <f>"TEC"</f>
        <v>TEC</v>
      </c>
      <c r="J1071" s="14"/>
    </row>
    <row r="1072" spans="1:10" x14ac:dyDescent="0.2">
      <c r="A1072" s="10" t="str">
        <f>"ENSG00000110375.3"</f>
        <v>ENSG00000110375.3</v>
      </c>
      <c r="B1072" s="10">
        <v>-2.3181174789741301</v>
      </c>
      <c r="C1072" s="10">
        <v>-1.08146578138293</v>
      </c>
      <c r="D1072" s="10">
        <v>16.9467560018462</v>
      </c>
      <c r="E1072" s="10">
        <v>3.1556754438321899E-3</v>
      </c>
      <c r="F1072" s="10" t="str">
        <f>"UPK2"</f>
        <v>UPK2</v>
      </c>
      <c r="G1072" s="10" t="str">
        <f>"protein_coding"</f>
        <v>protein_coding</v>
      </c>
      <c r="J1072" s="14"/>
    </row>
    <row r="1073" spans="1:10" x14ac:dyDescent="0.2">
      <c r="A1073" s="10" t="str">
        <f>"ENSG00000137699.17"</f>
        <v>ENSG00000137699.17</v>
      </c>
      <c r="B1073" s="10">
        <v>-1.6987291226926999</v>
      </c>
      <c r="C1073" s="10">
        <v>2.0364677057782301</v>
      </c>
      <c r="D1073" s="10">
        <v>8.2479200372063897</v>
      </c>
      <c r="E1073" s="10">
        <v>2.0503647337048701E-2</v>
      </c>
      <c r="F1073" s="10" t="str">
        <f>"TRIM29"</f>
        <v>TRIM29</v>
      </c>
      <c r="G1073" s="10" t="str">
        <f>"protein_coding"</f>
        <v>protein_coding</v>
      </c>
      <c r="J1073" s="14"/>
    </row>
    <row r="1074" spans="1:10" x14ac:dyDescent="0.2">
      <c r="A1074" s="10" t="str">
        <f>"ENSG00000109927.10"</f>
        <v>ENSG00000109927.10</v>
      </c>
      <c r="B1074" s="10">
        <v>-1.4088489457367599</v>
      </c>
      <c r="C1074" s="10">
        <v>0.90904011183626798</v>
      </c>
      <c r="D1074" s="10">
        <v>14.0086616961321</v>
      </c>
      <c r="E1074" s="10">
        <v>5.55784954765331E-3</v>
      </c>
      <c r="F1074" s="10" t="str">
        <f>"TECTA"</f>
        <v>TECTA</v>
      </c>
      <c r="G1074" s="10" t="str">
        <f>"protein_coding"</f>
        <v>protein_coding</v>
      </c>
      <c r="J1074" s="14"/>
    </row>
    <row r="1075" spans="1:10" x14ac:dyDescent="0.2">
      <c r="A1075" s="10" t="str">
        <f>"ENSG00000246790.2"</f>
        <v>ENSG00000246790.2</v>
      </c>
      <c r="B1075" s="10">
        <v>2.7562384436884502</v>
      </c>
      <c r="C1075" s="10">
        <v>-0.36050754032546201</v>
      </c>
      <c r="D1075" s="10">
        <v>6.7842221192491703</v>
      </c>
      <c r="E1075" s="10">
        <v>3.1069558022046698E-2</v>
      </c>
      <c r="F1075" s="10" t="str">
        <f>"AP000977.1"</f>
        <v>AP000977.1</v>
      </c>
      <c r="G1075" s="10" t="str">
        <f>"antisense"</f>
        <v>antisense</v>
      </c>
      <c r="J1075" s="14"/>
    </row>
    <row r="1076" spans="1:10" x14ac:dyDescent="0.2">
      <c r="A1076" s="10" t="str">
        <f>"ENSG00000137642.13"</f>
        <v>ENSG00000137642.13</v>
      </c>
      <c r="B1076" s="10">
        <v>1.4107693135674</v>
      </c>
      <c r="C1076" s="10">
        <v>7.8886329711724903</v>
      </c>
      <c r="D1076" s="10">
        <v>17.220189763668198</v>
      </c>
      <c r="E1076" s="10">
        <v>3.12506371560831E-3</v>
      </c>
      <c r="F1076" s="10" t="str">
        <f>"SORL1"</f>
        <v>SORL1</v>
      </c>
      <c r="G1076" s="10" t="str">
        <f>"protein_coding"</f>
        <v>protein_coding</v>
      </c>
      <c r="J1076" s="14"/>
    </row>
    <row r="1077" spans="1:10" x14ac:dyDescent="0.2">
      <c r="A1077" s="10" t="str">
        <f>"ENSG00000166257.8"</f>
        <v>ENSG00000166257.8</v>
      </c>
      <c r="B1077" s="10">
        <v>-2.1401648226349002</v>
      </c>
      <c r="C1077" s="10">
        <v>2.4429346117572002</v>
      </c>
      <c r="D1077" s="10">
        <v>13.252937590430101</v>
      </c>
      <c r="E1077" s="10">
        <v>6.4477659553773096E-3</v>
      </c>
      <c r="F1077" s="10" t="str">
        <f>"SCN3B"</f>
        <v>SCN3B</v>
      </c>
      <c r="G1077" s="10" t="str">
        <f>"protein_coding"</f>
        <v>protein_coding</v>
      </c>
      <c r="J1077" s="14"/>
    </row>
    <row r="1078" spans="1:10" x14ac:dyDescent="0.2">
      <c r="A1078" s="10" t="str">
        <f>"ENSG00000110002.15"</f>
        <v>ENSG00000110002.15</v>
      </c>
      <c r="B1078" s="10">
        <v>2.0434416359486001</v>
      </c>
      <c r="C1078" s="10">
        <v>0.25811578790710099</v>
      </c>
      <c r="D1078" s="10">
        <v>20.181229883558501</v>
      </c>
      <c r="E1078" s="10">
        <v>1.96087534853769E-3</v>
      </c>
      <c r="F1078" s="10" t="str">
        <f>"VWA5A"</f>
        <v>VWA5A</v>
      </c>
      <c r="G1078" s="10" t="str">
        <f>"protein_coding"</f>
        <v>protein_coding</v>
      </c>
      <c r="J1078" s="14"/>
    </row>
    <row r="1079" spans="1:10" x14ac:dyDescent="0.2">
      <c r="A1079" s="10" t="str">
        <f>"ENSG00000255045.1"</f>
        <v>ENSG00000255045.1</v>
      </c>
      <c r="B1079" s="10">
        <v>1.7463447900245499</v>
      </c>
      <c r="C1079" s="10">
        <v>-1.57218306889921</v>
      </c>
      <c r="D1079" s="10">
        <v>7.7247444821269804</v>
      </c>
      <c r="E1079" s="10">
        <v>2.3286348572148199E-2</v>
      </c>
      <c r="F1079" s="10" t="str">
        <f>"AP000866.5"</f>
        <v>AP000866.5</v>
      </c>
      <c r="G1079" s="10" t="str">
        <f>"antisense"</f>
        <v>antisense</v>
      </c>
      <c r="J1079" s="14"/>
    </row>
    <row r="1080" spans="1:10" x14ac:dyDescent="0.2">
      <c r="A1080" s="10" t="str">
        <f>"ENSG00000245498.6"</f>
        <v>ENSG00000245498.6</v>
      </c>
      <c r="B1080" s="10">
        <v>-1.16294719291797</v>
      </c>
      <c r="C1080" s="10">
        <v>2.7287569666310101</v>
      </c>
      <c r="D1080" s="10">
        <v>13.2928389434606</v>
      </c>
      <c r="E1080" s="10">
        <v>6.39650155201185E-3</v>
      </c>
      <c r="F1080" s="10" t="str">
        <f>"AP000866.1"</f>
        <v>AP000866.1</v>
      </c>
      <c r="G1080" s="10" t="str">
        <f>"antisense"</f>
        <v>antisense</v>
      </c>
      <c r="J1080" s="14"/>
    </row>
    <row r="1081" spans="1:10" x14ac:dyDescent="0.2">
      <c r="A1081" s="10" t="str">
        <f>"ENSG00000154133.14"</f>
        <v>ENSG00000154133.14</v>
      </c>
      <c r="B1081" s="10">
        <v>1.38437643332831</v>
      </c>
      <c r="C1081" s="10">
        <v>0.32715651781023197</v>
      </c>
      <c r="D1081" s="10">
        <v>5.6645663710181697</v>
      </c>
      <c r="E1081" s="10">
        <v>4.4174645991396699E-2</v>
      </c>
      <c r="F1081" s="10" t="str">
        <f>"ROBO4"</f>
        <v>ROBO4</v>
      </c>
      <c r="G1081" s="10" t="str">
        <f>"protein_coding"</f>
        <v>protein_coding</v>
      </c>
      <c r="J1081" s="14"/>
    </row>
    <row r="1082" spans="1:10" x14ac:dyDescent="0.2">
      <c r="A1082" s="10" t="str">
        <f>"ENSG00000187686.4"</f>
        <v>ENSG00000187686.4</v>
      </c>
      <c r="B1082" s="10">
        <v>-1.80940017957184</v>
      </c>
      <c r="C1082" s="10">
        <v>0.30150240760319402</v>
      </c>
      <c r="D1082" s="10">
        <v>11.491501943684201</v>
      </c>
      <c r="E1082" s="10">
        <v>9.3297732464042802E-3</v>
      </c>
      <c r="F1082" s="10" t="str">
        <f>"KRT18P59"</f>
        <v>KRT18P59</v>
      </c>
      <c r="G1082" s="10" t="str">
        <f>"transcribed_processed_pseudogene"</f>
        <v>transcribed_processed_pseudogene</v>
      </c>
      <c r="J1082" s="14"/>
    </row>
    <row r="1083" spans="1:10" x14ac:dyDescent="0.2">
      <c r="A1083" s="10" t="str">
        <f>"ENSG00000165495.16"</f>
        <v>ENSG00000165495.16</v>
      </c>
      <c r="B1083" s="10">
        <v>-1.6802253372565801</v>
      </c>
      <c r="C1083" s="10">
        <v>-0.65373374944123797</v>
      </c>
      <c r="D1083" s="10">
        <v>5.5565081976220503</v>
      </c>
      <c r="E1083" s="10">
        <v>4.5784396686374101E-2</v>
      </c>
      <c r="F1083" s="10" t="str">
        <f>"PKNOX2"</f>
        <v>PKNOX2</v>
      </c>
      <c r="G1083" s="10" t="str">
        <f>"protein_coding"</f>
        <v>protein_coding</v>
      </c>
      <c r="J1083" s="14"/>
    </row>
    <row r="1084" spans="1:10" x14ac:dyDescent="0.2">
      <c r="A1084" s="10" t="str">
        <f>"ENSG00000150455.13"</f>
        <v>ENSG00000150455.13</v>
      </c>
      <c r="B1084" s="10">
        <v>1.3990969017653601</v>
      </c>
      <c r="C1084" s="10">
        <v>3.3318450377144799</v>
      </c>
      <c r="D1084" s="10">
        <v>43.637774369341003</v>
      </c>
      <c r="E1084" s="10">
        <v>1.4766793590758801E-4</v>
      </c>
      <c r="F1084" s="10" t="str">
        <f>"TIRAP"</f>
        <v>TIRAP</v>
      </c>
      <c r="G1084" s="10" t="str">
        <f>"protein_coding"</f>
        <v>protein_coding</v>
      </c>
      <c r="J1084" s="14"/>
    </row>
    <row r="1085" spans="1:10" x14ac:dyDescent="0.2">
      <c r="A1085" s="10" t="str">
        <f>"ENSG00000255062.1"</f>
        <v>ENSG00000255062.1</v>
      </c>
      <c r="B1085" s="10">
        <v>1.5412038244300199</v>
      </c>
      <c r="C1085" s="10">
        <v>0.833256811099232</v>
      </c>
      <c r="D1085" s="10">
        <v>19.739973283573399</v>
      </c>
      <c r="E1085" s="10">
        <v>2.0148159046346E-3</v>
      </c>
      <c r="F1085" s="10" t="str">
        <f>"AP001318.2"</f>
        <v>AP001318.2</v>
      </c>
      <c r="G1085" s="10" t="str">
        <f>"antisense"</f>
        <v>antisense</v>
      </c>
      <c r="J1085" s="14"/>
    </row>
    <row r="1086" spans="1:10" x14ac:dyDescent="0.2">
      <c r="A1086" s="10" t="str">
        <f>"ENSG00000174370.9"</f>
        <v>ENSG00000174370.9</v>
      </c>
      <c r="B1086" s="10">
        <v>-1.8427778010276601</v>
      </c>
      <c r="C1086" s="10">
        <v>-0.22936432823619701</v>
      </c>
      <c r="D1086" s="10">
        <v>5.8574689940936997</v>
      </c>
      <c r="E1086" s="10">
        <v>4.1475548547923201E-2</v>
      </c>
      <c r="F1086" s="10" t="str">
        <f>"C11orf45"</f>
        <v>C11orf45</v>
      </c>
      <c r="G1086" s="10" t="str">
        <f>"protein_coding"</f>
        <v>protein_coding</v>
      </c>
      <c r="J1086" s="14"/>
    </row>
    <row r="1087" spans="1:10" x14ac:dyDescent="0.2">
      <c r="A1087" s="10" t="str">
        <f>"ENSG00000151715.7"</f>
        <v>ENSG00000151715.7</v>
      </c>
      <c r="B1087" s="10">
        <v>1.22161550823493</v>
      </c>
      <c r="C1087" s="10">
        <v>7.1894026785195804</v>
      </c>
      <c r="D1087" s="10">
        <v>7.0687791985052604</v>
      </c>
      <c r="E1087" s="10">
        <v>2.8554081256815401E-2</v>
      </c>
      <c r="F1087" s="10" t="str">
        <f>"TMEM45B"</f>
        <v>TMEM45B</v>
      </c>
      <c r="G1087" s="10" t="str">
        <f>"protein_coding"</f>
        <v>protein_coding</v>
      </c>
      <c r="J1087" s="14"/>
    </row>
    <row r="1088" spans="1:10" x14ac:dyDescent="0.2">
      <c r="A1088" s="10" t="str">
        <f>"ENSG00000109956.13"</f>
        <v>ENSG00000109956.13</v>
      </c>
      <c r="B1088" s="10">
        <v>-3.2470703783799699</v>
      </c>
      <c r="C1088" s="10">
        <v>-2.0448175923279801</v>
      </c>
      <c r="D1088" s="10">
        <v>10.226956637199899</v>
      </c>
      <c r="E1088" s="10">
        <v>1.23527929275503E-2</v>
      </c>
      <c r="F1088" s="10" t="str">
        <f>"B3GAT1"</f>
        <v>B3GAT1</v>
      </c>
      <c r="G1088" s="10" t="str">
        <f>"protein_coding"</f>
        <v>protein_coding</v>
      </c>
      <c r="J1088" s="14"/>
    </row>
    <row r="1089" spans="1:10" x14ac:dyDescent="0.2">
      <c r="A1089" s="10" t="str">
        <f>"ENSG00000139044.11"</f>
        <v>ENSG00000139044.11</v>
      </c>
      <c r="B1089" s="10">
        <v>-1.72343280433555</v>
      </c>
      <c r="C1089" s="10">
        <v>3.5133380851382099</v>
      </c>
      <c r="D1089" s="10">
        <v>23.6127069760526</v>
      </c>
      <c r="E1089" s="10">
        <v>1.2133885255691599E-3</v>
      </c>
      <c r="F1089" s="10" t="str">
        <f>"B4GALNT3"</f>
        <v>B4GALNT3</v>
      </c>
      <c r="G1089" s="10" t="str">
        <f>"protein_coding"</f>
        <v>protein_coding</v>
      </c>
      <c r="J1089" s="14"/>
    </row>
    <row r="1090" spans="1:10" x14ac:dyDescent="0.2">
      <c r="A1090" s="10" t="str">
        <f>"ENSG00000250132.6"</f>
        <v>ENSG00000250132.6</v>
      </c>
      <c r="B1090" s="10">
        <v>1.03128235200448</v>
      </c>
      <c r="C1090" s="10">
        <v>0.79055654689587296</v>
      </c>
      <c r="D1090" s="10">
        <v>6.7270620018187799</v>
      </c>
      <c r="E1090" s="10">
        <v>3.1608229277948603E-2</v>
      </c>
      <c r="F1090" s="10" t="str">
        <f>"AC004803.1"</f>
        <v>AC004803.1</v>
      </c>
      <c r="G1090" s="10" t="str">
        <f>"antisense"</f>
        <v>antisense</v>
      </c>
      <c r="J1090" s="14"/>
    </row>
    <row r="1091" spans="1:10" x14ac:dyDescent="0.2">
      <c r="A1091" s="10" t="str">
        <f>"ENSG00000111186.13"</f>
        <v>ENSG00000111186.13</v>
      </c>
      <c r="B1091" s="10">
        <v>-2.6014894440868401</v>
      </c>
      <c r="C1091" s="10">
        <v>-0.88505755054637902</v>
      </c>
      <c r="D1091" s="10">
        <v>6.0344955125542699</v>
      </c>
      <c r="E1091" s="10">
        <v>3.9180265021786502E-2</v>
      </c>
      <c r="F1091" s="10" t="str">
        <f>"WNT5B"</f>
        <v>WNT5B</v>
      </c>
      <c r="G1091" s="10" t="str">
        <f>"protein_coding"</f>
        <v>protein_coding</v>
      </c>
      <c r="J1091" s="14"/>
    </row>
    <row r="1092" spans="1:10" x14ac:dyDescent="0.2">
      <c r="A1092" s="10" t="str">
        <f>"ENSG00000166159.11"</f>
        <v>ENSG00000166159.11</v>
      </c>
      <c r="B1092" s="10">
        <v>2.5200314054073698</v>
      </c>
      <c r="C1092" s="10">
        <v>-2.0789146061245298</v>
      </c>
      <c r="D1092" s="10">
        <v>6.8134672018930198</v>
      </c>
      <c r="E1092" s="10">
        <v>3.07984430776642E-2</v>
      </c>
      <c r="F1092" s="10" t="str">
        <f>"LRTM2"</f>
        <v>LRTM2</v>
      </c>
      <c r="G1092" s="10" t="str">
        <f>"protein_coding"</f>
        <v>protein_coding</v>
      </c>
      <c r="J1092" s="14"/>
    </row>
    <row r="1093" spans="1:10" x14ac:dyDescent="0.2">
      <c r="A1093" s="10" t="str">
        <f>"ENSG00000250770.3"</f>
        <v>ENSG00000250770.3</v>
      </c>
      <c r="B1093" s="10">
        <v>-1.1969741439624499</v>
      </c>
      <c r="C1093" s="10">
        <v>2.46010208482015</v>
      </c>
      <c r="D1093" s="10">
        <v>5.8982688062239701</v>
      </c>
      <c r="E1093" s="10">
        <v>4.0931729742651003E-2</v>
      </c>
      <c r="F1093" s="10" t="str">
        <f>"AC005865.2"</f>
        <v>AC005865.2</v>
      </c>
      <c r="G1093" s="10" t="str">
        <f>"transcribed_unprocessed_pseudogene"</f>
        <v>transcribed_unprocessed_pseudogene</v>
      </c>
      <c r="J1093" s="14"/>
    </row>
    <row r="1094" spans="1:10" x14ac:dyDescent="0.2">
      <c r="A1094" s="10" t="str">
        <f>"ENSG00000111254.8"</f>
        <v>ENSG00000111254.8</v>
      </c>
      <c r="B1094" s="10">
        <v>1.43903262281852</v>
      </c>
      <c r="C1094" s="10">
        <v>-0.26154977258471601</v>
      </c>
      <c r="D1094" s="10">
        <v>9.6490543903121093</v>
      </c>
      <c r="E1094" s="10">
        <v>1.4308019727683001E-2</v>
      </c>
      <c r="F1094" s="10" t="str">
        <f>"AKAP3"</f>
        <v>AKAP3</v>
      </c>
      <c r="G1094" s="10" t="str">
        <f>"protein_coding"</f>
        <v>protein_coding</v>
      </c>
      <c r="J1094" s="14"/>
    </row>
    <row r="1095" spans="1:10" x14ac:dyDescent="0.2">
      <c r="A1095" s="10" t="str">
        <f>"ENSG00000111665.11"</f>
        <v>ENSG00000111665.11</v>
      </c>
      <c r="B1095" s="10">
        <v>-1.1733301165660099</v>
      </c>
      <c r="C1095" s="10">
        <v>5.0983427600375002</v>
      </c>
      <c r="D1095" s="10">
        <v>11.4174260028718</v>
      </c>
      <c r="E1095" s="10">
        <v>9.4833088077425805E-3</v>
      </c>
      <c r="F1095" s="10" t="str">
        <f>"CDCA3"</f>
        <v>CDCA3</v>
      </c>
      <c r="G1095" s="10" t="str">
        <f>"protein_coding"</f>
        <v>protein_coding</v>
      </c>
      <c r="J1095" s="14"/>
    </row>
    <row r="1096" spans="1:10" x14ac:dyDescent="0.2">
      <c r="A1096" s="10" t="str">
        <f>"ENSG00000215241.3"</f>
        <v>ENSG00000215241.3</v>
      </c>
      <c r="B1096" s="10">
        <v>-2.79450675564585</v>
      </c>
      <c r="C1096" s="10">
        <v>-1.4598995678848099</v>
      </c>
      <c r="D1096" s="10">
        <v>7.1955937282302296</v>
      </c>
      <c r="E1096" s="10">
        <v>2.7516078092764702E-2</v>
      </c>
      <c r="F1096" s="10" t="str">
        <f>"LINC02449"</f>
        <v>LINC02449</v>
      </c>
      <c r="G1096" s="10" t="str">
        <f>"lincRNA"</f>
        <v>lincRNA</v>
      </c>
      <c r="J1096" s="14"/>
    </row>
    <row r="1097" spans="1:10" x14ac:dyDescent="0.2">
      <c r="A1097" s="10" t="str">
        <f>"ENSG00000226091.7"</f>
        <v>ENSG00000226091.7</v>
      </c>
      <c r="B1097" s="10">
        <v>-2.7230564220822799</v>
      </c>
      <c r="C1097" s="10">
        <v>-1.85064743958176</v>
      </c>
      <c r="D1097" s="10">
        <v>8.5650453352288398</v>
      </c>
      <c r="E1097" s="10">
        <v>1.8844024123140301E-2</v>
      </c>
      <c r="F1097" s="10" t="str">
        <f>"LINC00937"</f>
        <v>LINC00937</v>
      </c>
      <c r="G1097" s="10" t="str">
        <f>"lincRNA"</f>
        <v>lincRNA</v>
      </c>
      <c r="J1097" s="14"/>
    </row>
    <row r="1098" spans="1:10" x14ac:dyDescent="0.2">
      <c r="A1098" s="10" t="str">
        <f>"ENSG00000245105.3"</f>
        <v>ENSG00000245105.3</v>
      </c>
      <c r="B1098" s="10">
        <v>1.4405701441876999</v>
      </c>
      <c r="C1098" s="10">
        <v>0.80987229740482003</v>
      </c>
      <c r="D1098" s="10">
        <v>16.709712213871398</v>
      </c>
      <c r="E1098" s="10">
        <v>3.3279029934201701E-3</v>
      </c>
      <c r="F1098" s="10" t="str">
        <f>"A2M-AS1"</f>
        <v>A2M-AS1</v>
      </c>
      <c r="G1098" s="10" t="str">
        <f>"antisense"</f>
        <v>antisense</v>
      </c>
      <c r="J1098" s="14"/>
    </row>
    <row r="1099" spans="1:10" x14ac:dyDescent="0.2">
      <c r="A1099" s="10" t="str">
        <f>"ENSG00000175899.14"</f>
        <v>ENSG00000175899.14</v>
      </c>
      <c r="B1099" s="10">
        <v>2.0381557573053199</v>
      </c>
      <c r="C1099" s="10">
        <v>11.631503227176401</v>
      </c>
      <c r="D1099" s="10">
        <v>16.696601834552101</v>
      </c>
      <c r="E1099" s="10">
        <v>3.41381674127288E-3</v>
      </c>
      <c r="F1099" s="10" t="str">
        <f>"A2M"</f>
        <v>A2M</v>
      </c>
      <c r="G1099" s="10" t="str">
        <f>"protein_coding"</f>
        <v>protein_coding</v>
      </c>
      <c r="J1099" s="14"/>
    </row>
    <row r="1100" spans="1:10" x14ac:dyDescent="0.2">
      <c r="A1100" s="10" t="str">
        <f>"ENSG00000278635.1"</f>
        <v>ENSG00000278635.1</v>
      </c>
      <c r="B1100" s="10">
        <v>1.5310339437732901</v>
      </c>
      <c r="C1100" s="10">
        <v>-0.25239991367105302</v>
      </c>
      <c r="D1100" s="10">
        <v>10.6529571221055</v>
      </c>
      <c r="E1100" s="10">
        <v>1.12690982805192E-2</v>
      </c>
      <c r="F1100" s="10" t="str">
        <f>"AC141557.2"</f>
        <v>AC141557.2</v>
      </c>
      <c r="G1100" s="10" t="str">
        <f>"unprocessed_pseudogene"</f>
        <v>unprocessed_pseudogene</v>
      </c>
      <c r="J1100" s="14"/>
    </row>
    <row r="1101" spans="1:10" x14ac:dyDescent="0.2">
      <c r="A1101" s="10" t="str">
        <f>"ENSG00000257027.1"</f>
        <v>ENSG00000257027.1</v>
      </c>
      <c r="B1101" s="10">
        <v>1.3497787250712401</v>
      </c>
      <c r="C1101" s="10">
        <v>0.53625952733711502</v>
      </c>
      <c r="D1101" s="10">
        <v>13.45778107606</v>
      </c>
      <c r="E1101" s="10">
        <v>6.0738308166324202E-3</v>
      </c>
      <c r="F1101" s="10" t="str">
        <f>"AC010186.3"</f>
        <v>AC010186.3</v>
      </c>
      <c r="G1101" s="10" t="str">
        <f>"sense_intronic"</f>
        <v>sense_intronic</v>
      </c>
      <c r="J1101" s="14"/>
    </row>
    <row r="1102" spans="1:10" x14ac:dyDescent="0.2">
      <c r="A1102" s="10" t="str">
        <f>"ENSG00000139112.11"</f>
        <v>ENSG00000139112.11</v>
      </c>
      <c r="B1102" s="10">
        <v>1.1978842972827799</v>
      </c>
      <c r="C1102" s="10">
        <v>5.7203438501219299</v>
      </c>
      <c r="D1102" s="10">
        <v>44.8715469806409</v>
      </c>
      <c r="E1102" s="10">
        <v>1.3381330950479599E-4</v>
      </c>
      <c r="F1102" s="10" t="str">
        <f>"GABARAPL1"</f>
        <v>GABARAPL1</v>
      </c>
      <c r="G1102" s="10" t="str">
        <f>"protein_coding"</f>
        <v>protein_coding</v>
      </c>
      <c r="J1102" s="14"/>
    </row>
    <row r="1103" spans="1:10" x14ac:dyDescent="0.2">
      <c r="A1103" s="10" t="str">
        <f>"ENSG00000245648.1"</f>
        <v>ENSG00000245648.1</v>
      </c>
      <c r="B1103" s="10">
        <v>-2.5338862707304499</v>
      </c>
      <c r="C1103" s="10">
        <v>3.0922998894967102</v>
      </c>
      <c r="D1103" s="10">
        <v>13.529135173317201</v>
      </c>
      <c r="E1103" s="10">
        <v>6.10315284136976E-3</v>
      </c>
      <c r="F1103" s="10" t="str">
        <f>"AC022075.1"</f>
        <v>AC022075.1</v>
      </c>
      <c r="G1103" s="10" t="str">
        <f>"antisense"</f>
        <v>antisense</v>
      </c>
      <c r="J1103" s="14"/>
    </row>
    <row r="1104" spans="1:10" x14ac:dyDescent="0.2">
      <c r="A1104" s="10" t="str">
        <f>"ENSG00000213809.9"</f>
        <v>ENSG00000213809.9</v>
      </c>
      <c r="B1104" s="10">
        <v>-2.22041144347852</v>
      </c>
      <c r="C1104" s="10">
        <v>-1.34889099157781</v>
      </c>
      <c r="D1104" s="10">
        <v>7.1876099459942697</v>
      </c>
      <c r="E1104" s="10">
        <v>2.7580006857017999E-2</v>
      </c>
      <c r="F1104" s="10" t="str">
        <f>"KLRK1"</f>
        <v>KLRK1</v>
      </c>
      <c r="G1104" s="10" t="str">
        <f t="shared" ref="G1104:G1109" si="38">"protein_coding"</f>
        <v>protein_coding</v>
      </c>
      <c r="J1104" s="14"/>
    </row>
    <row r="1105" spans="1:10" x14ac:dyDescent="0.2">
      <c r="A1105" s="10" t="str">
        <f>"ENSG00000013588.8"</f>
        <v>ENSG00000013588.8</v>
      </c>
      <c r="B1105" s="10">
        <v>1.7328025114954999</v>
      </c>
      <c r="C1105" s="10">
        <v>3.8440878718132798</v>
      </c>
      <c r="D1105" s="10">
        <v>12.088291897630601</v>
      </c>
      <c r="E1105" s="10">
        <v>8.1998730858321104E-3</v>
      </c>
      <c r="F1105" s="10" t="str">
        <f>"GPRC5A"</f>
        <v>GPRC5A</v>
      </c>
      <c r="G1105" s="10" t="str">
        <f t="shared" si="38"/>
        <v>protein_coding</v>
      </c>
      <c r="J1105" s="14"/>
    </row>
    <row r="1106" spans="1:10" x14ac:dyDescent="0.2">
      <c r="A1106" s="10" t="str">
        <f>"ENSG00000111291.8"</f>
        <v>ENSG00000111291.8</v>
      </c>
      <c r="B1106" s="10">
        <v>1.3427646895983401</v>
      </c>
      <c r="C1106" s="10">
        <v>-6.7775414776305401E-2</v>
      </c>
      <c r="D1106" s="10">
        <v>9.5838205064817004</v>
      </c>
      <c r="E1106" s="10">
        <v>1.4539244155441401E-2</v>
      </c>
      <c r="F1106" s="10" t="str">
        <f>"GPRC5D"</f>
        <v>GPRC5D</v>
      </c>
      <c r="G1106" s="10" t="str">
        <f t="shared" si="38"/>
        <v>protein_coding</v>
      </c>
      <c r="J1106" s="14"/>
    </row>
    <row r="1107" spans="1:10" x14ac:dyDescent="0.2">
      <c r="A1107" s="10" t="str">
        <f>"ENSG00000111339.12"</f>
        <v>ENSG00000111339.12</v>
      </c>
      <c r="B1107" s="10">
        <v>1.9762323765966301</v>
      </c>
      <c r="C1107" s="10">
        <v>3.3358049375505798</v>
      </c>
      <c r="D1107" s="10">
        <v>34.048130635914497</v>
      </c>
      <c r="E1107" s="10">
        <v>3.7157101044130397E-4</v>
      </c>
      <c r="F1107" s="10" t="str">
        <f>"ART4"</f>
        <v>ART4</v>
      </c>
      <c r="G1107" s="10" t="str">
        <f t="shared" si="38"/>
        <v>protein_coding</v>
      </c>
      <c r="J1107" s="14"/>
    </row>
    <row r="1108" spans="1:10" x14ac:dyDescent="0.2">
      <c r="A1108" s="10" t="str">
        <f>"ENSG00000139055.7"</f>
        <v>ENSG00000139055.7</v>
      </c>
      <c r="B1108" s="10">
        <v>-1.7147634467039801</v>
      </c>
      <c r="C1108" s="10">
        <v>3.3567656166530502</v>
      </c>
      <c r="D1108" s="10">
        <v>12.655364025894199</v>
      </c>
      <c r="E1108" s="10">
        <v>7.2808526401681398E-3</v>
      </c>
      <c r="F1108" s="10" t="str">
        <f>"ERP27"</f>
        <v>ERP27</v>
      </c>
      <c r="G1108" s="10" t="str">
        <f t="shared" si="38"/>
        <v>protein_coding</v>
      </c>
      <c r="J1108" s="14"/>
    </row>
    <row r="1109" spans="1:10" x14ac:dyDescent="0.2">
      <c r="A1109" s="10" t="str">
        <f>"ENSG00000008394.13"</f>
        <v>ENSG00000008394.13</v>
      </c>
      <c r="B1109" s="10">
        <v>1.3709738642760301</v>
      </c>
      <c r="C1109" s="10">
        <v>6.5694340976655203</v>
      </c>
      <c r="D1109" s="10">
        <v>26.790588746261498</v>
      </c>
      <c r="E1109" s="10">
        <v>8.1454161993413398E-4</v>
      </c>
      <c r="F1109" s="10" t="str">
        <f>"MGST1"</f>
        <v>MGST1</v>
      </c>
      <c r="G1109" s="10" t="str">
        <f t="shared" si="38"/>
        <v>protein_coding</v>
      </c>
      <c r="J1109" s="14"/>
    </row>
    <row r="1110" spans="1:10" x14ac:dyDescent="0.2">
      <c r="A1110" s="10" t="str">
        <f>"ENSG00000255745.1"</f>
        <v>ENSG00000255745.1</v>
      </c>
      <c r="B1110" s="10">
        <v>1.0493588183842799</v>
      </c>
      <c r="C1110" s="10">
        <v>2.5267159266174302</v>
      </c>
      <c r="D1110" s="10">
        <v>9.6264448971250101</v>
      </c>
      <c r="E1110" s="10">
        <v>1.43876333152079E-2</v>
      </c>
      <c r="F1110" s="10" t="str">
        <f>"AC023796.1"</f>
        <v>AC023796.1</v>
      </c>
      <c r="G1110" s="10" t="str">
        <f>"lincRNA"</f>
        <v>lincRNA</v>
      </c>
      <c r="J1110" s="14"/>
    </row>
    <row r="1111" spans="1:10" x14ac:dyDescent="0.2">
      <c r="A1111" s="10" t="str">
        <f>"ENSG00000060982.15"</f>
        <v>ENSG00000060982.15</v>
      </c>
      <c r="B1111" s="10">
        <v>1.1009887893639501</v>
      </c>
      <c r="C1111" s="10">
        <v>2.5385052819082001</v>
      </c>
      <c r="D1111" s="10">
        <v>9.2861309373339296</v>
      </c>
      <c r="E1111" s="10">
        <v>1.56560677163643E-2</v>
      </c>
      <c r="F1111" s="10" t="str">
        <f>"BCAT1"</f>
        <v>BCAT1</v>
      </c>
      <c r="G1111" s="10" t="str">
        <f>"protein_coding"</f>
        <v>protein_coding</v>
      </c>
      <c r="J1111" s="14"/>
    </row>
    <row r="1112" spans="1:10" x14ac:dyDescent="0.2">
      <c r="A1112" s="10" t="str">
        <f>"ENSG00000246695.7"</f>
        <v>ENSG00000246695.7</v>
      </c>
      <c r="B1112" s="10">
        <v>-1.0616023138806401</v>
      </c>
      <c r="C1112" s="10">
        <v>1.0957882160477701</v>
      </c>
      <c r="D1112" s="10">
        <v>11.061775831139199</v>
      </c>
      <c r="E1112" s="10">
        <v>1.0024309507562E-2</v>
      </c>
      <c r="F1112" s="10" t="str">
        <f>"RASSF8-AS1"</f>
        <v>RASSF8-AS1</v>
      </c>
      <c r="G1112" s="10" t="str">
        <f>"antisense"</f>
        <v>antisense</v>
      </c>
      <c r="J1112" s="14"/>
    </row>
    <row r="1113" spans="1:10" x14ac:dyDescent="0.2">
      <c r="A1113" s="10" t="str">
        <f>"ENSG00000123095.6"</f>
        <v>ENSG00000123095.6</v>
      </c>
      <c r="B1113" s="10">
        <v>1.77611394668022</v>
      </c>
      <c r="C1113" s="10">
        <v>-1.25954023546392</v>
      </c>
      <c r="D1113" s="10">
        <v>7.75563844108291</v>
      </c>
      <c r="E1113" s="10">
        <v>2.3458941034032399E-2</v>
      </c>
      <c r="F1113" s="10" t="str">
        <f>"BHLHE41"</f>
        <v>BHLHE41</v>
      </c>
      <c r="G1113" s="10" t="str">
        <f>"protein_coding"</f>
        <v>protein_coding</v>
      </c>
      <c r="J1113" s="14"/>
    </row>
    <row r="1114" spans="1:10" x14ac:dyDescent="0.2">
      <c r="A1114" s="10" t="str">
        <f>"ENSG00000133687.16"</f>
        <v>ENSG00000133687.16</v>
      </c>
      <c r="B1114" s="10">
        <v>1.2969260974315999</v>
      </c>
      <c r="C1114" s="10">
        <v>2.2836623388586599</v>
      </c>
      <c r="D1114" s="10">
        <v>13.9914980949167</v>
      </c>
      <c r="E1114" s="10">
        <v>5.5762887000687603E-3</v>
      </c>
      <c r="F1114" s="10" t="str">
        <f>"TMTC1"</f>
        <v>TMTC1</v>
      </c>
      <c r="G1114" s="10" t="str">
        <f>"protein_coding"</f>
        <v>protein_coding</v>
      </c>
      <c r="J1114" s="14"/>
    </row>
    <row r="1115" spans="1:10" x14ac:dyDescent="0.2">
      <c r="A1115" s="10" t="str">
        <f>"ENSG00000110900.15"</f>
        <v>ENSG00000110900.15</v>
      </c>
      <c r="B1115" s="10">
        <v>-1.7663587373188001</v>
      </c>
      <c r="C1115" s="10">
        <v>4.1832666168989698</v>
      </c>
      <c r="D1115" s="10">
        <v>10.3777809671678</v>
      </c>
      <c r="E1115" s="10">
        <v>1.2013999312342699E-2</v>
      </c>
      <c r="F1115" s="10" t="str">
        <f>"TSPAN11"</f>
        <v>TSPAN11</v>
      </c>
      <c r="G1115" s="10" t="str">
        <f>"protein_coding"</f>
        <v>protein_coding</v>
      </c>
      <c r="J1115" s="14"/>
    </row>
    <row r="1116" spans="1:10" x14ac:dyDescent="0.2">
      <c r="A1116" s="10" t="str">
        <f>"ENSG00000270926.1"</f>
        <v>ENSG00000270926.1</v>
      </c>
      <c r="B1116" s="10">
        <v>2.54688764515189</v>
      </c>
      <c r="C1116" s="10">
        <v>-2.0766849973370198</v>
      </c>
      <c r="D1116" s="10">
        <v>6.1013279405764997</v>
      </c>
      <c r="E1116" s="10">
        <v>3.8355749154219403E-2</v>
      </c>
      <c r="F1116" s="10" t="str">
        <f>"AC008013.3"</f>
        <v>AC008013.3</v>
      </c>
      <c r="G1116" s="10" t="str">
        <f>"unprocessed_pseudogene"</f>
        <v>unprocessed_pseudogene</v>
      </c>
      <c r="J1116" s="14"/>
    </row>
    <row r="1117" spans="1:10" x14ac:dyDescent="0.2">
      <c r="A1117" s="10" t="str">
        <f>"ENSG00000177359.20"</f>
        <v>ENSG00000177359.20</v>
      </c>
      <c r="B1117" s="10">
        <v>-1.56314083224587</v>
      </c>
      <c r="C1117" s="10">
        <v>-0.56372196382637996</v>
      </c>
      <c r="D1117" s="10">
        <v>6.6516710581892697</v>
      </c>
      <c r="E1117" s="10">
        <v>3.2336904117665502E-2</v>
      </c>
      <c r="F1117" s="10" t="str">
        <f>"AC024940.2"</f>
        <v>AC024940.2</v>
      </c>
      <c r="G1117" s="10" t="str">
        <f>"transcribed_unprocessed_pseudogene"</f>
        <v>transcribed_unprocessed_pseudogene</v>
      </c>
      <c r="J1117" s="14"/>
    </row>
    <row r="1118" spans="1:10" x14ac:dyDescent="0.2">
      <c r="A1118" s="10" t="str">
        <f>"ENSG00000177340.5"</f>
        <v>ENSG00000177340.5</v>
      </c>
      <c r="B1118" s="10">
        <v>-1.4756823859755499</v>
      </c>
      <c r="C1118" s="10">
        <v>0.35277723940174999</v>
      </c>
      <c r="D1118" s="10">
        <v>6.0682253904165897</v>
      </c>
      <c r="E1118" s="10">
        <v>3.8761358209264803E-2</v>
      </c>
      <c r="F1118" s="10" t="str">
        <f>"AC024940.1"</f>
        <v>AC024940.1</v>
      </c>
      <c r="G1118" s="10" t="str">
        <f>"antisense"</f>
        <v>antisense</v>
      </c>
      <c r="J1118" s="14"/>
    </row>
    <row r="1119" spans="1:10" x14ac:dyDescent="0.2">
      <c r="A1119" s="10" t="str">
        <f>"ENSG00000151746.14"</f>
        <v>ENSG00000151746.14</v>
      </c>
      <c r="B1119" s="10">
        <v>1.6623574555509999</v>
      </c>
      <c r="C1119" s="10">
        <v>1.7608171302415501</v>
      </c>
      <c r="D1119" s="10">
        <v>19.070770985718902</v>
      </c>
      <c r="E1119" s="10">
        <v>2.3207273910529199E-3</v>
      </c>
      <c r="F1119" s="10" t="str">
        <f>"BICD1"</f>
        <v>BICD1</v>
      </c>
      <c r="G1119" s="10" t="str">
        <f t="shared" ref="G1119:G1124" si="39">"protein_coding"</f>
        <v>protein_coding</v>
      </c>
      <c r="J1119" s="14"/>
    </row>
    <row r="1120" spans="1:10" x14ac:dyDescent="0.2">
      <c r="A1120" s="10" t="str">
        <f>"ENSG00000139132.14"</f>
        <v>ENSG00000139132.14</v>
      </c>
      <c r="B1120" s="10">
        <v>1.17104074732185</v>
      </c>
      <c r="C1120" s="10">
        <v>4.1859210865348899</v>
      </c>
      <c r="D1120" s="10">
        <v>20.062634455160701</v>
      </c>
      <c r="E1120" s="10">
        <v>1.9958124592303799E-3</v>
      </c>
      <c r="F1120" s="10" t="str">
        <f>"FGD4"</f>
        <v>FGD4</v>
      </c>
      <c r="G1120" s="10" t="str">
        <f t="shared" si="39"/>
        <v>protein_coding</v>
      </c>
      <c r="J1120" s="14"/>
    </row>
    <row r="1121" spans="1:10" x14ac:dyDescent="0.2">
      <c r="A1121" s="10" t="str">
        <f>"ENSG00000188906.16"</f>
        <v>ENSG00000188906.16</v>
      </c>
      <c r="B1121" s="10">
        <v>-2.3417533029167599</v>
      </c>
      <c r="C1121" s="10">
        <v>-1.47740814549015</v>
      </c>
      <c r="D1121" s="10">
        <v>12.3608346948057</v>
      </c>
      <c r="E1121" s="10">
        <v>7.5370768606782702E-3</v>
      </c>
      <c r="F1121" s="10" t="str">
        <f>"LRRK2"</f>
        <v>LRRK2</v>
      </c>
      <c r="G1121" s="10" t="str">
        <f t="shared" si="39"/>
        <v>protein_coding</v>
      </c>
      <c r="J1121" s="14"/>
    </row>
    <row r="1122" spans="1:10" x14ac:dyDescent="0.2">
      <c r="A1122" s="10" t="str">
        <f>"ENSG00000018236.15"</f>
        <v>ENSG00000018236.15</v>
      </c>
      <c r="B1122" s="10">
        <v>-1.1440193013039499</v>
      </c>
      <c r="C1122" s="10">
        <v>0.174712496955612</v>
      </c>
      <c r="D1122" s="10">
        <v>8.7458786829588497</v>
      </c>
      <c r="E1122" s="10">
        <v>1.7729804130523399E-2</v>
      </c>
      <c r="F1122" s="10" t="str">
        <f>"CNTN1"</f>
        <v>CNTN1</v>
      </c>
      <c r="G1122" s="10" t="str">
        <f t="shared" si="39"/>
        <v>protein_coding</v>
      </c>
      <c r="J1122" s="14"/>
    </row>
    <row r="1123" spans="1:10" x14ac:dyDescent="0.2">
      <c r="A1123" s="10" t="str">
        <f>"ENSG00000139168.8"</f>
        <v>ENSG00000139168.8</v>
      </c>
      <c r="B1123" s="10">
        <v>1.02849676744095</v>
      </c>
      <c r="C1123" s="10">
        <v>4.4993068092059501</v>
      </c>
      <c r="D1123" s="10">
        <v>7.2939652435682802</v>
      </c>
      <c r="E1123" s="10">
        <v>2.6743529522705398E-2</v>
      </c>
      <c r="F1123" s="10" t="str">
        <f>"ZCRB1"</f>
        <v>ZCRB1</v>
      </c>
      <c r="G1123" s="10" t="str">
        <f t="shared" si="39"/>
        <v>protein_coding</v>
      </c>
      <c r="J1123" s="14"/>
    </row>
    <row r="1124" spans="1:10" x14ac:dyDescent="0.2">
      <c r="A1124" s="10" t="str">
        <f>"ENSG00000186897.5"</f>
        <v>ENSG00000186897.5</v>
      </c>
      <c r="B1124" s="10">
        <v>-1.96882522774785</v>
      </c>
      <c r="C1124" s="10">
        <v>-1.4861894681077901</v>
      </c>
      <c r="D1124" s="10">
        <v>5.3428024420240998</v>
      </c>
      <c r="E1124" s="10">
        <v>4.9193955734661302E-2</v>
      </c>
      <c r="F1124" s="10" t="str">
        <f>"C1QL4"</f>
        <v>C1QL4</v>
      </c>
      <c r="G1124" s="10" t="str">
        <f t="shared" si="39"/>
        <v>protein_coding</v>
      </c>
      <c r="J1124" s="14"/>
    </row>
    <row r="1125" spans="1:10" x14ac:dyDescent="0.2">
      <c r="A1125" s="10" t="str">
        <f>"ENSG00000258057.5"</f>
        <v>ENSG00000258057.5</v>
      </c>
      <c r="B1125" s="10">
        <v>-1.5159367785037601</v>
      </c>
      <c r="C1125" s="10">
        <v>-0.62473030652670603</v>
      </c>
      <c r="D1125" s="10">
        <v>6.1049616969226399</v>
      </c>
      <c r="E1125" s="10">
        <v>3.8311552794444197E-2</v>
      </c>
      <c r="F1125" s="10" t="str">
        <f>"BCDIN3D-AS1"</f>
        <v>BCDIN3D-AS1</v>
      </c>
      <c r="G1125" s="10" t="str">
        <f>"antisense"</f>
        <v>antisense</v>
      </c>
      <c r="J1125" s="14"/>
    </row>
    <row r="1126" spans="1:10" x14ac:dyDescent="0.2">
      <c r="A1126" s="10" t="str">
        <f>"ENSG00000167588.13"</f>
        <v>ENSG00000167588.13</v>
      </c>
      <c r="B1126" s="10">
        <v>2.0114403087664501</v>
      </c>
      <c r="C1126" s="10">
        <v>2.1288664304552798</v>
      </c>
      <c r="D1126" s="10">
        <v>32.589705862897802</v>
      </c>
      <c r="E1126" s="10">
        <v>4.2995037716487302E-4</v>
      </c>
      <c r="F1126" s="10" t="str">
        <f>"GPD1"</f>
        <v>GPD1</v>
      </c>
      <c r="G1126" s="10" t="str">
        <f t="shared" ref="G1126:G1132" si="40">"protein_coding"</f>
        <v>protein_coding</v>
      </c>
      <c r="J1126" s="14"/>
    </row>
    <row r="1127" spans="1:10" x14ac:dyDescent="0.2">
      <c r="A1127" s="10" t="str">
        <f>"ENSG00000110911.15"</f>
        <v>ENSG00000110911.15</v>
      </c>
      <c r="B1127" s="10">
        <v>1.3393511998418799</v>
      </c>
      <c r="C1127" s="10">
        <v>6.2202466001085197</v>
      </c>
      <c r="D1127" s="10">
        <v>6.2689524409410096</v>
      </c>
      <c r="E1127" s="10">
        <v>3.6382442256890399E-2</v>
      </c>
      <c r="F1127" s="10" t="str">
        <f>"SLC11A2"</f>
        <v>SLC11A2</v>
      </c>
      <c r="G1127" s="10" t="str">
        <f t="shared" si="40"/>
        <v>protein_coding</v>
      </c>
      <c r="J1127" s="14"/>
    </row>
    <row r="1128" spans="1:10" x14ac:dyDescent="0.2">
      <c r="A1128" s="10" t="str">
        <f>"ENSG00000284730.1"</f>
        <v>ENSG00000284730.1</v>
      </c>
      <c r="B1128" s="10">
        <v>-1.6258580187123</v>
      </c>
      <c r="C1128" s="10">
        <v>-0.14004692245300801</v>
      </c>
      <c r="D1128" s="10">
        <v>16.487851605655798</v>
      </c>
      <c r="E1128" s="10">
        <v>3.41561872734902E-3</v>
      </c>
      <c r="F1128" s="10" t="str">
        <f>"AC068987.5"</f>
        <v>AC068987.5</v>
      </c>
      <c r="G1128" s="10" t="str">
        <f t="shared" si="40"/>
        <v>protein_coding</v>
      </c>
      <c r="J1128" s="14"/>
    </row>
    <row r="1129" spans="1:10" x14ac:dyDescent="0.2">
      <c r="A1129" s="10" t="str">
        <f>"ENSG00000261308.2"</f>
        <v>ENSG00000261308.2</v>
      </c>
      <c r="B1129" s="10">
        <v>-1.55920491939682</v>
      </c>
      <c r="C1129" s="10">
        <v>0.30666018049473898</v>
      </c>
      <c r="D1129" s="10">
        <v>8.3696541214922604</v>
      </c>
      <c r="E1129" s="10">
        <v>1.9845613412281402E-2</v>
      </c>
      <c r="F1129" s="10" t="str">
        <f>"FIGNL2"</f>
        <v>FIGNL2</v>
      </c>
      <c r="G1129" s="10" t="str">
        <f t="shared" si="40"/>
        <v>protein_coding</v>
      </c>
      <c r="J1129" s="14"/>
    </row>
    <row r="1130" spans="1:10" x14ac:dyDescent="0.2">
      <c r="A1130" s="10" t="str">
        <f>"ENSG00000167780.12"</f>
        <v>ENSG00000167780.12</v>
      </c>
      <c r="B1130" s="10">
        <v>1.4554117365860999</v>
      </c>
      <c r="C1130" s="10">
        <v>4.3177405502131796</v>
      </c>
      <c r="D1130" s="10">
        <v>16.8235212796437</v>
      </c>
      <c r="E1130" s="10">
        <v>3.3408589692155502E-3</v>
      </c>
      <c r="F1130" s="10" t="str">
        <f>"SOAT2"</f>
        <v>SOAT2</v>
      </c>
      <c r="G1130" s="10" t="str">
        <f t="shared" si="40"/>
        <v>protein_coding</v>
      </c>
      <c r="J1130" s="14"/>
    </row>
    <row r="1131" spans="1:10" x14ac:dyDescent="0.2">
      <c r="A1131" s="10" t="str">
        <f>"ENSG00000172819.17"</f>
        <v>ENSG00000172819.17</v>
      </c>
      <c r="B1131" s="10">
        <v>-1.5410354819908301</v>
      </c>
      <c r="C1131" s="10">
        <v>0.84716785772060998</v>
      </c>
      <c r="D1131" s="10">
        <v>9.4983732382291102</v>
      </c>
      <c r="E1131" s="10">
        <v>1.4849267209548701E-2</v>
      </c>
      <c r="F1131" s="10" t="str">
        <f>"RARG"</f>
        <v>RARG</v>
      </c>
      <c r="G1131" s="10" t="str">
        <f t="shared" si="40"/>
        <v>protein_coding</v>
      </c>
      <c r="J1131" s="14"/>
    </row>
    <row r="1132" spans="1:10" x14ac:dyDescent="0.2">
      <c r="A1132" s="10" t="str">
        <f>"ENSG00000180806.5"</f>
        <v>ENSG00000180806.5</v>
      </c>
      <c r="B1132" s="10">
        <v>1.0719367944995899</v>
      </c>
      <c r="C1132" s="10">
        <v>0.64354159014303902</v>
      </c>
      <c r="D1132" s="10">
        <v>9.8798368296324295</v>
      </c>
      <c r="E1132" s="10">
        <v>1.3242815290236101E-2</v>
      </c>
      <c r="F1132" s="10" t="str">
        <f>"HOXC9"</f>
        <v>HOXC9</v>
      </c>
      <c r="G1132" s="10" t="str">
        <f t="shared" si="40"/>
        <v>protein_coding</v>
      </c>
      <c r="J1132" s="14"/>
    </row>
    <row r="1133" spans="1:10" x14ac:dyDescent="0.2">
      <c r="A1133" s="10" t="str">
        <f>"ENSG00000250742.3"</f>
        <v>ENSG00000250742.3</v>
      </c>
      <c r="B1133" s="10">
        <v>-3.2238104578875499</v>
      </c>
      <c r="C1133" s="10">
        <v>-0.23919299415474299</v>
      </c>
      <c r="D1133" s="10">
        <v>17.481431318162699</v>
      </c>
      <c r="E1133" s="10">
        <v>2.9924139233505598E-3</v>
      </c>
      <c r="F1133" s="10" t="str">
        <f>"LINC02381"</f>
        <v>LINC02381</v>
      </c>
      <c r="G1133" s="10" t="str">
        <f>"lincRNA"</f>
        <v>lincRNA</v>
      </c>
      <c r="J1133" s="14"/>
    </row>
    <row r="1134" spans="1:10" x14ac:dyDescent="0.2">
      <c r="A1134" s="10" t="str">
        <f>"ENSG00000170439.7"</f>
        <v>ENSG00000170439.7</v>
      </c>
      <c r="B1134" s="10">
        <v>1.79133036886491</v>
      </c>
      <c r="C1134" s="10">
        <v>3.2582844705842402</v>
      </c>
      <c r="D1134" s="10">
        <v>27.887101213555301</v>
      </c>
      <c r="E1134" s="10">
        <v>7.1607465216179497E-4</v>
      </c>
      <c r="F1134" s="10" t="str">
        <f>"METTL7B"</f>
        <v>METTL7B</v>
      </c>
      <c r="G1134" s="10" t="str">
        <f t="shared" ref="G1134:G1143" si="41">"protein_coding"</f>
        <v>protein_coding</v>
      </c>
      <c r="J1134" s="14"/>
    </row>
    <row r="1135" spans="1:10" x14ac:dyDescent="0.2">
      <c r="A1135" s="10" t="str">
        <f>"ENSG00000065361.15"</f>
        <v>ENSG00000065361.15</v>
      </c>
      <c r="B1135" s="10">
        <v>1.41016457482802</v>
      </c>
      <c r="C1135" s="10">
        <v>6.1720586253951799</v>
      </c>
      <c r="D1135" s="10">
        <v>33.6982131828644</v>
      </c>
      <c r="E1135" s="10">
        <v>3.8462711279056201E-4</v>
      </c>
      <c r="F1135" s="10" t="str">
        <f>"ERBB3"</f>
        <v>ERBB3</v>
      </c>
      <c r="G1135" s="10" t="str">
        <f t="shared" si="41"/>
        <v>protein_coding</v>
      </c>
      <c r="J1135" s="14"/>
    </row>
    <row r="1136" spans="1:10" x14ac:dyDescent="0.2">
      <c r="A1136" s="10" t="str">
        <f>"ENSG00000139540.12"</f>
        <v>ENSG00000139540.12</v>
      </c>
      <c r="B1136" s="10">
        <v>1.6074311296167201</v>
      </c>
      <c r="C1136" s="10">
        <v>4.17484480973802</v>
      </c>
      <c r="D1136" s="10">
        <v>30.700734023944499</v>
      </c>
      <c r="E1136" s="10">
        <v>5.2368286386584998E-4</v>
      </c>
      <c r="F1136" s="10" t="str">
        <f>"SLC39A5"</f>
        <v>SLC39A5</v>
      </c>
      <c r="G1136" s="10" t="str">
        <f t="shared" si="41"/>
        <v>protein_coding</v>
      </c>
      <c r="J1136" s="14"/>
    </row>
    <row r="1137" spans="1:10" x14ac:dyDescent="0.2">
      <c r="A1137" s="10" t="str">
        <f>"ENSG00000175336.10"</f>
        <v>ENSG00000175336.10</v>
      </c>
      <c r="B1137" s="10">
        <v>1.6786778646923599</v>
      </c>
      <c r="C1137" s="10">
        <v>2.0153551062011199</v>
      </c>
      <c r="D1137" s="10">
        <v>8.4570296564127805</v>
      </c>
      <c r="E1137" s="10">
        <v>1.93896378765613E-2</v>
      </c>
      <c r="F1137" s="10" t="str">
        <f>"APOF"</f>
        <v>APOF</v>
      </c>
      <c r="G1137" s="10" t="str">
        <f t="shared" si="41"/>
        <v>protein_coding</v>
      </c>
      <c r="J1137" s="14"/>
    </row>
    <row r="1138" spans="1:10" x14ac:dyDescent="0.2">
      <c r="A1138" s="10" t="str">
        <f>"ENSG00000166866.13"</f>
        <v>ENSG00000166866.13</v>
      </c>
      <c r="B1138" s="10">
        <v>1.0801957025461</v>
      </c>
      <c r="C1138" s="10">
        <v>1.8860371528347299</v>
      </c>
      <c r="D1138" s="10">
        <v>9.5234083617867</v>
      </c>
      <c r="E1138" s="10">
        <v>1.47575805168749E-2</v>
      </c>
      <c r="F1138" s="10" t="str">
        <f>"MYO1A"</f>
        <v>MYO1A</v>
      </c>
      <c r="G1138" s="10" t="str">
        <f t="shared" si="41"/>
        <v>protein_coding</v>
      </c>
      <c r="J1138" s="14"/>
    </row>
    <row r="1139" spans="1:10" x14ac:dyDescent="0.2">
      <c r="A1139" s="10" t="str">
        <f>"ENSG00000182379.10"</f>
        <v>ENSG00000182379.10</v>
      </c>
      <c r="B1139" s="10">
        <v>-2.2822609495307402</v>
      </c>
      <c r="C1139" s="10">
        <v>2.7407824795417199</v>
      </c>
      <c r="D1139" s="10">
        <v>15.691259734419599</v>
      </c>
      <c r="E1139" s="10">
        <v>4.0682530594813001E-3</v>
      </c>
      <c r="F1139" s="10" t="str">
        <f>"NXPH4"</f>
        <v>NXPH4</v>
      </c>
      <c r="G1139" s="10" t="str">
        <f t="shared" si="41"/>
        <v>protein_coding</v>
      </c>
      <c r="J1139" s="14"/>
    </row>
    <row r="1140" spans="1:10" x14ac:dyDescent="0.2">
      <c r="A1140" s="10" t="str">
        <f>"ENSG00000175189.4"</f>
        <v>ENSG00000175189.4</v>
      </c>
      <c r="B1140" s="10">
        <v>1.4554960910482599</v>
      </c>
      <c r="C1140" s="10">
        <v>1.9230108708952001</v>
      </c>
      <c r="D1140" s="10">
        <v>17.636049299742499</v>
      </c>
      <c r="E1140" s="10">
        <v>2.9172138974001699E-3</v>
      </c>
      <c r="F1140" s="10" t="str">
        <f>"INHBC"</f>
        <v>INHBC</v>
      </c>
      <c r="G1140" s="10" t="str">
        <f t="shared" si="41"/>
        <v>protein_coding</v>
      </c>
      <c r="J1140" s="14"/>
    </row>
    <row r="1141" spans="1:10" x14ac:dyDescent="0.2">
      <c r="A1141" s="10" t="str">
        <f>"ENSG00000155980.12"</f>
        <v>ENSG00000155980.12</v>
      </c>
      <c r="B1141" s="10">
        <v>2.0496824028681901</v>
      </c>
      <c r="C1141" s="10">
        <v>3.6224011341158202</v>
      </c>
      <c r="D1141" s="10">
        <v>29.903563375454802</v>
      </c>
      <c r="E1141" s="10">
        <v>5.7083430629652503E-4</v>
      </c>
      <c r="F1141" s="10" t="str">
        <f>"KIF5A"</f>
        <v>KIF5A</v>
      </c>
      <c r="G1141" s="10" t="str">
        <f t="shared" si="41"/>
        <v>protein_coding</v>
      </c>
      <c r="J1141" s="14"/>
    </row>
    <row r="1142" spans="1:10" x14ac:dyDescent="0.2">
      <c r="A1142" s="10" t="str">
        <f>"ENSG00000135454.14"</f>
        <v>ENSG00000135454.14</v>
      </c>
      <c r="B1142" s="10">
        <v>1.4438847927913601</v>
      </c>
      <c r="C1142" s="10">
        <v>4.6215903648450096</v>
      </c>
      <c r="D1142" s="10">
        <v>15.2491198846056</v>
      </c>
      <c r="E1142" s="10">
        <v>4.4055179469894299E-3</v>
      </c>
      <c r="F1142" s="10" t="str">
        <f>"B4GALNT1"</f>
        <v>B4GALNT1</v>
      </c>
      <c r="G1142" s="10" t="str">
        <f t="shared" si="41"/>
        <v>protein_coding</v>
      </c>
      <c r="J1142" s="14"/>
    </row>
    <row r="1143" spans="1:10" x14ac:dyDescent="0.2">
      <c r="A1143" s="10" t="str">
        <f>"ENSG00000118596.12"</f>
        <v>ENSG00000118596.12</v>
      </c>
      <c r="B1143" s="10">
        <v>-1.0273587130984101</v>
      </c>
      <c r="C1143" s="10">
        <v>-0.25105175864741802</v>
      </c>
      <c r="D1143" s="10">
        <v>7.0408824241639403</v>
      </c>
      <c r="E1143" s="10">
        <v>2.83733627895561E-2</v>
      </c>
      <c r="F1143" s="10" t="str">
        <f>"SLC16A7"</f>
        <v>SLC16A7</v>
      </c>
      <c r="G1143" s="10" t="str">
        <f t="shared" si="41"/>
        <v>protein_coding</v>
      </c>
      <c r="J1143" s="14"/>
    </row>
    <row r="1144" spans="1:10" x14ac:dyDescent="0.2">
      <c r="A1144" s="10" t="str">
        <f>"ENSG00000257354.2"</f>
        <v>ENSG00000257354.2</v>
      </c>
      <c r="B1144" s="10">
        <v>-1.1125182092726</v>
      </c>
      <c r="C1144" s="10">
        <v>0.98237580860165097</v>
      </c>
      <c r="D1144" s="10">
        <v>11.274615643322001</v>
      </c>
      <c r="E1144" s="10">
        <v>9.5531873217878493E-3</v>
      </c>
      <c r="F1144" s="10" t="str">
        <f>"AC048341.1"</f>
        <v>AC048341.1</v>
      </c>
      <c r="G1144" s="10" t="str">
        <f>"lincRNA"</f>
        <v>lincRNA</v>
      </c>
      <c r="J1144" s="14"/>
    </row>
    <row r="1145" spans="1:10" x14ac:dyDescent="0.2">
      <c r="A1145" s="10" t="str">
        <f>"ENSG00000174099.11"</f>
        <v>ENSG00000174099.11</v>
      </c>
      <c r="B1145" s="10">
        <v>-1.0204917733646901</v>
      </c>
      <c r="C1145" s="10">
        <v>0.81567487156385798</v>
      </c>
      <c r="D1145" s="10">
        <v>6.4037152678872902</v>
      </c>
      <c r="E1145" s="10">
        <v>3.4888470619758E-2</v>
      </c>
      <c r="F1145" s="10" t="str">
        <f>"MSRB3"</f>
        <v>MSRB3</v>
      </c>
      <c r="G1145" s="10" t="str">
        <f>"protein_coding"</f>
        <v>protein_coding</v>
      </c>
      <c r="J1145" s="14"/>
    </row>
    <row r="1146" spans="1:10" x14ac:dyDescent="0.2">
      <c r="A1146" s="10" t="str">
        <f>"ENSG00000277945.1"</f>
        <v>ENSG00000277945.1</v>
      </c>
      <c r="B1146" s="10">
        <v>1.6539104214204301</v>
      </c>
      <c r="C1146" s="10">
        <v>-1.1130804441383</v>
      </c>
      <c r="D1146" s="10">
        <v>6.0248178079588701</v>
      </c>
      <c r="E1146" s="10">
        <v>3.9301515745316901E-2</v>
      </c>
      <c r="F1146" s="10" t="str">
        <f>"AC107308.1"</f>
        <v>AC107308.1</v>
      </c>
      <c r="G1146" s="10" t="str">
        <f>"sense_intronic"</f>
        <v>sense_intronic</v>
      </c>
      <c r="J1146" s="14"/>
    </row>
    <row r="1147" spans="1:10" x14ac:dyDescent="0.2">
      <c r="A1147" s="10" t="str">
        <f>"ENSG00000247131.5"</f>
        <v>ENSG00000247131.5</v>
      </c>
      <c r="B1147" s="10">
        <v>-1.72520324378504</v>
      </c>
      <c r="C1147" s="10">
        <v>-1.4470980754795899</v>
      </c>
      <c r="D1147" s="10">
        <v>6.6947310138632696</v>
      </c>
      <c r="E1147" s="10">
        <v>3.1663601505448002E-2</v>
      </c>
      <c r="F1147" s="10" t="str">
        <f>"AC025263.1"</f>
        <v>AC025263.1</v>
      </c>
      <c r="G1147" s="10" t="str">
        <f>"antisense"</f>
        <v>antisense</v>
      </c>
      <c r="J1147" s="14"/>
    </row>
    <row r="1148" spans="1:10" x14ac:dyDescent="0.2">
      <c r="A1148" s="10" t="str">
        <f>"ENSG00000135643.5"</f>
        <v>ENSG00000135643.5</v>
      </c>
      <c r="B1148" s="10">
        <v>-1.77398867536361</v>
      </c>
      <c r="C1148" s="10">
        <v>0.62189920432353996</v>
      </c>
      <c r="D1148" s="10">
        <v>15.407992606428399</v>
      </c>
      <c r="E1148" s="10">
        <v>4.2804403438924101E-3</v>
      </c>
      <c r="F1148" s="10" t="str">
        <f>"KCNMB4"</f>
        <v>KCNMB4</v>
      </c>
      <c r="G1148" s="10" t="str">
        <f>"protein_coding"</f>
        <v>protein_coding</v>
      </c>
      <c r="J1148" s="14"/>
    </row>
    <row r="1149" spans="1:10" x14ac:dyDescent="0.2">
      <c r="A1149" s="10" t="str">
        <f>"ENSG00000277247.1"</f>
        <v>ENSG00000277247.1</v>
      </c>
      <c r="B1149" s="10">
        <v>-3.4309767201089301</v>
      </c>
      <c r="C1149" s="10">
        <v>-1.9388520886207199</v>
      </c>
      <c r="D1149" s="10">
        <v>9.4847917301459397</v>
      </c>
      <c r="E1149" s="10">
        <v>1.48993066590252E-2</v>
      </c>
      <c r="F1149" s="10" t="str">
        <f>"AC083809.1"</f>
        <v>AC083809.1</v>
      </c>
      <c r="G1149" s="10" t="str">
        <f>"antisense"</f>
        <v>antisense</v>
      </c>
      <c r="J1149" s="14"/>
    </row>
    <row r="1150" spans="1:10" x14ac:dyDescent="0.2">
      <c r="A1150" s="10" t="str">
        <f>"ENSG00000175183.10"</f>
        <v>ENSG00000175183.10</v>
      </c>
      <c r="B1150" s="10">
        <v>-1.31273857923513</v>
      </c>
      <c r="C1150" s="10">
        <v>3.8601458948467098</v>
      </c>
      <c r="D1150" s="10">
        <v>47.980999637691397</v>
      </c>
      <c r="E1150" s="10">
        <v>1.05440268979048E-4</v>
      </c>
      <c r="F1150" s="10" t="str">
        <f>"CSRP2"</f>
        <v>CSRP2</v>
      </c>
      <c r="G1150" s="10" t="str">
        <f>"protein_coding"</f>
        <v>protein_coding</v>
      </c>
      <c r="J1150" s="14"/>
    </row>
    <row r="1151" spans="1:10" x14ac:dyDescent="0.2">
      <c r="A1151" s="10" t="str">
        <f>"ENSG00000165891.16"</f>
        <v>ENSG00000165891.16</v>
      </c>
      <c r="B1151" s="10">
        <v>-1.057883727726</v>
      </c>
      <c r="C1151" s="10">
        <v>6.2033299914593396</v>
      </c>
      <c r="D1151" s="10">
        <v>16.356885490396099</v>
      </c>
      <c r="E1151" s="10">
        <v>3.6191392008032299E-3</v>
      </c>
      <c r="F1151" s="10" t="str">
        <f>"E2F7"</f>
        <v>E2F7</v>
      </c>
      <c r="G1151" s="10" t="str">
        <f>"protein_coding"</f>
        <v>protein_coding</v>
      </c>
      <c r="J1151" s="14"/>
    </row>
    <row r="1152" spans="1:10" x14ac:dyDescent="0.2">
      <c r="A1152" s="10" t="str">
        <f>"ENSG00000274021.1"</f>
        <v>ENSG00000274021.1</v>
      </c>
      <c r="B1152" s="10">
        <v>1.1422460866648501</v>
      </c>
      <c r="C1152" s="10">
        <v>0.27562422373490397</v>
      </c>
      <c r="D1152" s="10">
        <v>10.183327107830699</v>
      </c>
      <c r="E1152" s="10">
        <v>1.23058950394037E-2</v>
      </c>
      <c r="F1152" s="10" t="str">
        <f>"AC024909.1"</f>
        <v>AC024909.1</v>
      </c>
      <c r="G1152" s="10" t="str">
        <f>"antisense"</f>
        <v>antisense</v>
      </c>
      <c r="J1152" s="14"/>
    </row>
    <row r="1153" spans="1:10" x14ac:dyDescent="0.2">
      <c r="A1153" s="10" t="str">
        <f>"ENSG00000271614.1"</f>
        <v>ENSG00000271614.1</v>
      </c>
      <c r="B1153" s="10">
        <v>-1.3290649911324199</v>
      </c>
      <c r="C1153" s="10">
        <v>0.26535124958949602</v>
      </c>
      <c r="D1153" s="10">
        <v>13.344869775093899</v>
      </c>
      <c r="E1153" s="10">
        <v>6.1505727281579896E-3</v>
      </c>
      <c r="F1153" s="10" t="str">
        <f>"ATP2B1-AS1"</f>
        <v>ATP2B1-AS1</v>
      </c>
      <c r="G1153" s="10" t="str">
        <f>"lincRNA"</f>
        <v>lincRNA</v>
      </c>
      <c r="J1153" s="14"/>
    </row>
    <row r="1154" spans="1:10" x14ac:dyDescent="0.2">
      <c r="A1154" s="10" t="str">
        <f>"ENSG00000258365.1"</f>
        <v>ENSG00000258365.1</v>
      </c>
      <c r="B1154" s="10">
        <v>1.6903781857373401</v>
      </c>
      <c r="C1154" s="10">
        <v>-1.45738135218123</v>
      </c>
      <c r="D1154" s="10">
        <v>6.9271558338781798</v>
      </c>
      <c r="E1154" s="10">
        <v>2.94325963477002E-2</v>
      </c>
      <c r="F1154" s="10" t="str">
        <f>"AC073655.2"</f>
        <v>AC073655.2</v>
      </c>
      <c r="G1154" s="10" t="str">
        <f>"antisense"</f>
        <v>antisense</v>
      </c>
      <c r="J1154" s="14"/>
    </row>
    <row r="1155" spans="1:10" x14ac:dyDescent="0.2">
      <c r="A1155" s="10" t="str">
        <f>"ENSG00000028203.18"</f>
        <v>ENSG00000028203.18</v>
      </c>
      <c r="B1155" s="10">
        <v>1.0882146009776701</v>
      </c>
      <c r="C1155" s="10">
        <v>5.8985573130425104</v>
      </c>
      <c r="D1155" s="10">
        <v>11.7008718146433</v>
      </c>
      <c r="E1155" s="10">
        <v>8.9123571596826604E-3</v>
      </c>
      <c r="F1155" s="10" t="str">
        <f>"VEZT"</f>
        <v>VEZT</v>
      </c>
      <c r="G1155" s="10" t="str">
        <f>"protein_coding"</f>
        <v>protein_coding</v>
      </c>
      <c r="J1155" s="14"/>
    </row>
    <row r="1156" spans="1:10" x14ac:dyDescent="0.2">
      <c r="A1156" s="10" t="str">
        <f>"ENSG00000265917.1"</f>
        <v>ENSG00000265917.1</v>
      </c>
      <c r="B1156" s="10">
        <v>2.3874609934988298</v>
      </c>
      <c r="C1156" s="10">
        <v>-0.41760493926998599</v>
      </c>
      <c r="D1156" s="10">
        <v>14.3518895079374</v>
      </c>
      <c r="E1156" s="10">
        <v>5.2046348067830801E-3</v>
      </c>
      <c r="F1156" s="10" t="str">
        <f>"MIR3685"</f>
        <v>MIR3685</v>
      </c>
      <c r="G1156" s="10" t="str">
        <f>"miRNA"</f>
        <v>miRNA</v>
      </c>
      <c r="J1156" s="14"/>
    </row>
    <row r="1157" spans="1:10" x14ac:dyDescent="0.2">
      <c r="A1157" s="10" t="str">
        <f>"ENSG00000012504.15"</f>
        <v>ENSG00000012504.15</v>
      </c>
      <c r="B1157" s="10">
        <v>1.30237289091482</v>
      </c>
      <c r="C1157" s="10">
        <v>3.9199435843508099</v>
      </c>
      <c r="D1157" s="10">
        <v>15.698523083864499</v>
      </c>
      <c r="E1157" s="10">
        <v>4.06298739651457E-3</v>
      </c>
      <c r="F1157" s="10" t="str">
        <f>"NR1H4"</f>
        <v>NR1H4</v>
      </c>
      <c r="G1157" s="10" t="str">
        <f>"protein_coding"</f>
        <v>protein_coding</v>
      </c>
      <c r="J1157" s="14"/>
    </row>
    <row r="1158" spans="1:10" x14ac:dyDescent="0.2">
      <c r="A1158" s="10" t="str">
        <f>"ENSG00000151572.18"</f>
        <v>ENSG00000151572.18</v>
      </c>
      <c r="B1158" s="10">
        <v>-2.1912910283156002</v>
      </c>
      <c r="C1158" s="10">
        <v>0.60767151155261001</v>
      </c>
      <c r="D1158" s="10">
        <v>7.8588162883012496</v>
      </c>
      <c r="E1158" s="10">
        <v>2.2799991944050399E-2</v>
      </c>
      <c r="F1158" s="10" t="str">
        <f>"ANO4"</f>
        <v>ANO4</v>
      </c>
      <c r="G1158" s="10" t="str">
        <f>"protein_coding"</f>
        <v>protein_coding</v>
      </c>
      <c r="J1158" s="14"/>
    </row>
    <row r="1159" spans="1:10" x14ac:dyDescent="0.2">
      <c r="A1159" s="10" t="str">
        <f>"ENSG00000196091.13"</f>
        <v>ENSG00000196091.13</v>
      </c>
      <c r="B1159" s="10">
        <v>1.38271706111745</v>
      </c>
      <c r="C1159" s="10">
        <v>0.815267687055794</v>
      </c>
      <c r="D1159" s="10">
        <v>10.7018528610466</v>
      </c>
      <c r="E1159" s="10">
        <v>1.11428642662282E-2</v>
      </c>
      <c r="F1159" s="10" t="str">
        <f>"MYBPC1"</f>
        <v>MYBPC1</v>
      </c>
      <c r="G1159" s="10" t="str">
        <f>"protein_coding"</f>
        <v>protein_coding</v>
      </c>
      <c r="J1159" s="14"/>
    </row>
    <row r="1160" spans="1:10" x14ac:dyDescent="0.2">
      <c r="A1160" s="10" t="str">
        <f>"ENSG00000139351.15"</f>
        <v>ENSG00000139351.15</v>
      </c>
      <c r="B1160" s="10">
        <v>1.2586692789289999</v>
      </c>
      <c r="C1160" s="10">
        <v>0.27437555819364001</v>
      </c>
      <c r="D1160" s="10">
        <v>12.2900662104313</v>
      </c>
      <c r="E1160" s="10">
        <v>7.6511682821533804E-3</v>
      </c>
      <c r="F1160" s="10" t="str">
        <f>"SYCP3"</f>
        <v>SYCP3</v>
      </c>
      <c r="G1160" s="10" t="str">
        <f>"protein_coding"</f>
        <v>protein_coding</v>
      </c>
      <c r="J1160" s="14"/>
    </row>
    <row r="1161" spans="1:10" x14ac:dyDescent="0.2">
      <c r="A1161" s="10" t="str">
        <f>"ENSG00000281344.1"</f>
        <v>ENSG00000281344.1</v>
      </c>
      <c r="B1161" s="10">
        <v>-1.0686544920705301</v>
      </c>
      <c r="C1161" s="10">
        <v>1.23127134131062</v>
      </c>
      <c r="D1161" s="10">
        <v>9.7175466366980103</v>
      </c>
      <c r="E1161" s="10">
        <v>1.40419744425398E-2</v>
      </c>
      <c r="F1161" s="10" t="str">
        <f>"HELLPAR"</f>
        <v>HELLPAR</v>
      </c>
      <c r="G1161" s="10" t="str">
        <f>"macro_lncRNA"</f>
        <v>macro_lncRNA</v>
      </c>
      <c r="J1161" s="14"/>
    </row>
    <row r="1162" spans="1:10" x14ac:dyDescent="0.2">
      <c r="A1162" s="10" t="str">
        <f>"ENSG00000017427.16"</f>
        <v>ENSG00000017427.16</v>
      </c>
      <c r="B1162" s="10">
        <v>-2.3625263744201801</v>
      </c>
      <c r="C1162" s="10">
        <v>-1.71087697824776</v>
      </c>
      <c r="D1162" s="10">
        <v>7.0162662918670904</v>
      </c>
      <c r="E1162" s="10">
        <v>2.89983738382186E-2</v>
      </c>
      <c r="F1162" s="10" t="str">
        <f>"IGF1"</f>
        <v>IGF1</v>
      </c>
      <c r="G1162" s="10" t="str">
        <f>"protein_coding"</f>
        <v>protein_coding</v>
      </c>
      <c r="J1162" s="14"/>
    </row>
    <row r="1163" spans="1:10" x14ac:dyDescent="0.2">
      <c r="A1163" s="10" t="str">
        <f>"ENSG00000120820.12"</f>
        <v>ENSG00000120820.12</v>
      </c>
      <c r="B1163" s="10">
        <v>-1.0345599201975899</v>
      </c>
      <c r="C1163" s="10">
        <v>-1.6014995836000401E-2</v>
      </c>
      <c r="D1163" s="10">
        <v>6.7301112693966996</v>
      </c>
      <c r="E1163" s="10">
        <v>3.1256985911928298E-2</v>
      </c>
      <c r="F1163" s="10" t="str">
        <f>"GLT8D2"</f>
        <v>GLT8D2</v>
      </c>
      <c r="G1163" s="10" t="str">
        <f>"protein_coding"</f>
        <v>protein_coding</v>
      </c>
      <c r="J1163" s="14"/>
    </row>
    <row r="1164" spans="1:10" x14ac:dyDescent="0.2">
      <c r="A1164" s="10" t="str">
        <f>"ENSG00000166046.11"</f>
        <v>ENSG00000166046.11</v>
      </c>
      <c r="B1164" s="10">
        <v>1.15957119838211</v>
      </c>
      <c r="C1164" s="10">
        <v>4.2411500525800703</v>
      </c>
      <c r="D1164" s="10">
        <v>23.829202463558001</v>
      </c>
      <c r="E1164" s="10">
        <v>1.1793641042810001E-3</v>
      </c>
      <c r="F1164" s="10" t="str">
        <f>"TCP11L2"</f>
        <v>TCP11L2</v>
      </c>
      <c r="G1164" s="10" t="str">
        <f>"protein_coding"</f>
        <v>protein_coding</v>
      </c>
      <c r="J1164" s="14"/>
    </row>
    <row r="1165" spans="1:10" x14ac:dyDescent="0.2">
      <c r="A1165" s="10" t="str">
        <f>"ENSG00000256139.2"</f>
        <v>ENSG00000256139.2</v>
      </c>
      <c r="B1165" s="10">
        <v>1.0988143687456899</v>
      </c>
      <c r="C1165" s="10">
        <v>-0.75651285491805498</v>
      </c>
      <c r="D1165" s="10">
        <v>6.2780589205620796</v>
      </c>
      <c r="E1165" s="10">
        <v>3.5820001023238401E-2</v>
      </c>
      <c r="F1165" s="10" t="str">
        <f>"AC007637.1"</f>
        <v>AC007637.1</v>
      </c>
      <c r="G1165" s="10" t="str">
        <f>"sense_overlapping"</f>
        <v>sense_overlapping</v>
      </c>
      <c r="J1165" s="14"/>
    </row>
    <row r="1166" spans="1:10" x14ac:dyDescent="0.2">
      <c r="A1166" s="10" t="str">
        <f>"ENSG00000122986.13"</f>
        <v>ENSG00000122986.13</v>
      </c>
      <c r="B1166" s="10">
        <v>-1.1368539847552099</v>
      </c>
      <c r="C1166" s="10">
        <v>1.7620147247456599</v>
      </c>
      <c r="D1166" s="10">
        <v>15.551660448131001</v>
      </c>
      <c r="E1166" s="10">
        <v>4.0341553841497903E-3</v>
      </c>
      <c r="F1166" s="10" t="str">
        <f>"HVCN1"</f>
        <v>HVCN1</v>
      </c>
      <c r="G1166" s="10" t="str">
        <f t="shared" ref="G1166:G1177" si="42">"protein_coding"</f>
        <v>protein_coding</v>
      </c>
      <c r="J1166" s="14"/>
    </row>
    <row r="1167" spans="1:10" x14ac:dyDescent="0.2">
      <c r="A1167" s="10" t="str">
        <f>"ENSG00000089127.13"</f>
        <v>ENSG00000089127.13</v>
      </c>
      <c r="B1167" s="10">
        <v>1.8096916830354</v>
      </c>
      <c r="C1167" s="10">
        <v>4.4611415243876298</v>
      </c>
      <c r="D1167" s="10">
        <v>75.070551522027003</v>
      </c>
      <c r="E1167" s="13">
        <v>2.0428243536445599E-5</v>
      </c>
      <c r="F1167" s="10" t="str">
        <f>"OAS1"</f>
        <v>OAS1</v>
      </c>
      <c r="G1167" s="10" t="str">
        <f t="shared" si="42"/>
        <v>protein_coding</v>
      </c>
      <c r="J1167" s="14"/>
    </row>
    <row r="1168" spans="1:10" x14ac:dyDescent="0.2">
      <c r="A1168" s="10" t="str">
        <f>"ENSG00000135144.7"</f>
        <v>ENSG00000135144.7</v>
      </c>
      <c r="B1168" s="10">
        <v>-2.0864761357094701</v>
      </c>
      <c r="C1168" s="10">
        <v>1.58538004279696</v>
      </c>
      <c r="D1168" s="10">
        <v>5.8947573252091399</v>
      </c>
      <c r="E1168" s="10">
        <v>4.0978176847131502E-2</v>
      </c>
      <c r="F1168" s="10" t="str">
        <f>"DTX1"</f>
        <v>DTX1</v>
      </c>
      <c r="G1168" s="10" t="str">
        <f t="shared" si="42"/>
        <v>protein_coding</v>
      </c>
      <c r="J1168" s="14"/>
    </row>
    <row r="1169" spans="1:10" x14ac:dyDescent="0.2">
      <c r="A1169" s="10" t="str">
        <f>"ENSG00000088992.18"</f>
        <v>ENSG00000088992.18</v>
      </c>
      <c r="B1169" s="10">
        <v>1.0770625940585901</v>
      </c>
      <c r="C1169" s="10">
        <v>5.0699477587693798</v>
      </c>
      <c r="D1169" s="10">
        <v>26.2285736332522</v>
      </c>
      <c r="E1169" s="10">
        <v>8.5651025036041003E-4</v>
      </c>
      <c r="F1169" s="10" t="str">
        <f>"TESC"</f>
        <v>TESC</v>
      </c>
      <c r="G1169" s="10" t="str">
        <f t="shared" si="42"/>
        <v>protein_coding</v>
      </c>
      <c r="J1169" s="14"/>
    </row>
    <row r="1170" spans="1:10" x14ac:dyDescent="0.2">
      <c r="A1170" s="10" t="str">
        <f>"ENSG00000183273.7"</f>
        <v>ENSG00000183273.7</v>
      </c>
      <c r="B1170" s="10">
        <v>-1.3883531010028101</v>
      </c>
      <c r="C1170" s="10">
        <v>2.9043847477011902</v>
      </c>
      <c r="D1170" s="10">
        <v>10.5804329325503</v>
      </c>
      <c r="E1170" s="10">
        <v>1.14596578084171E-2</v>
      </c>
      <c r="F1170" s="10" t="str">
        <f>"CCDC60"</f>
        <v>CCDC60</v>
      </c>
      <c r="G1170" s="10" t="str">
        <f t="shared" si="42"/>
        <v>protein_coding</v>
      </c>
      <c r="J1170" s="14"/>
    </row>
    <row r="1171" spans="1:10" x14ac:dyDescent="0.2">
      <c r="A1171" s="10" t="str">
        <f>"ENSG00000170890.14"</f>
        <v>ENSG00000170890.14</v>
      </c>
      <c r="B1171" s="10">
        <v>1.3627829765675199</v>
      </c>
      <c r="C1171" s="10">
        <v>-0.74029060703932603</v>
      </c>
      <c r="D1171" s="10">
        <v>8.1709024008053497</v>
      </c>
      <c r="E1171" s="10">
        <v>2.0576968390148401E-2</v>
      </c>
      <c r="F1171" s="10" t="str">
        <f>"PLA2G1B"</f>
        <v>PLA2G1B</v>
      </c>
      <c r="G1171" s="10" t="str">
        <f t="shared" si="42"/>
        <v>protein_coding</v>
      </c>
      <c r="J1171" s="14"/>
    </row>
    <row r="1172" spans="1:10" x14ac:dyDescent="0.2">
      <c r="A1172" s="10" t="str">
        <f>"ENSG00000135097.7"</f>
        <v>ENSG00000135097.7</v>
      </c>
      <c r="B1172" s="10">
        <v>-1.6258617303307501</v>
      </c>
      <c r="C1172" s="10">
        <v>1.7911759634939399</v>
      </c>
      <c r="D1172" s="10">
        <v>13.047192353209001</v>
      </c>
      <c r="E1172" s="10">
        <v>6.72042583048454E-3</v>
      </c>
      <c r="F1172" s="10" t="str">
        <f>"MSI1"</f>
        <v>MSI1</v>
      </c>
      <c r="G1172" s="10" t="str">
        <f t="shared" si="42"/>
        <v>protein_coding</v>
      </c>
      <c r="J1172" s="14"/>
    </row>
    <row r="1173" spans="1:10" x14ac:dyDescent="0.2">
      <c r="A1173" s="10" t="str">
        <f>"ENSG00000157782.9"</f>
        <v>ENSG00000157782.9</v>
      </c>
      <c r="B1173" s="10">
        <v>-3.4408417649578902</v>
      </c>
      <c r="C1173" s="10">
        <v>-1.4150071121993799</v>
      </c>
      <c r="D1173" s="10">
        <v>14.0995721380619</v>
      </c>
      <c r="E1173" s="10">
        <v>5.46144570462412E-3</v>
      </c>
      <c r="F1173" s="10" t="str">
        <f>"CABP1"</f>
        <v>CABP1</v>
      </c>
      <c r="G1173" s="10" t="str">
        <f t="shared" si="42"/>
        <v>protein_coding</v>
      </c>
      <c r="J1173" s="14"/>
    </row>
    <row r="1174" spans="1:10" x14ac:dyDescent="0.2">
      <c r="A1174" s="10" t="str">
        <f>"ENSG00000176383.9"</f>
        <v>ENSG00000176383.9</v>
      </c>
      <c r="B1174" s="10">
        <v>-1.32678274105912</v>
      </c>
      <c r="C1174" s="10">
        <v>-0.93904777859578203</v>
      </c>
      <c r="D1174" s="10">
        <v>8.0472778510485803</v>
      </c>
      <c r="E1174" s="10">
        <v>2.12861344304585E-2</v>
      </c>
      <c r="F1174" s="10" t="str">
        <f>"B3GNT4"</f>
        <v>B3GNT4</v>
      </c>
      <c r="G1174" s="10" t="str">
        <f t="shared" si="42"/>
        <v>protein_coding</v>
      </c>
      <c r="J1174" s="14"/>
    </row>
    <row r="1175" spans="1:10" x14ac:dyDescent="0.2">
      <c r="A1175" s="10" t="str">
        <f>"ENSG00000182782.7"</f>
        <v>ENSG00000182782.7</v>
      </c>
      <c r="B1175" s="10">
        <v>-1.07458902531517</v>
      </c>
      <c r="C1175" s="10">
        <v>3.4573957387660901</v>
      </c>
      <c r="D1175" s="10">
        <v>18.457555293094199</v>
      </c>
      <c r="E1175" s="10">
        <v>2.5550056804004499E-3</v>
      </c>
      <c r="F1175" s="10" t="str">
        <f>"HCAR2"</f>
        <v>HCAR2</v>
      </c>
      <c r="G1175" s="10" t="str">
        <f t="shared" si="42"/>
        <v>protein_coding</v>
      </c>
      <c r="J1175" s="14"/>
    </row>
    <row r="1176" spans="1:10" x14ac:dyDescent="0.2">
      <c r="A1176" s="10" t="str">
        <f>"ENSG00000196917.5"</f>
        <v>ENSG00000196917.5</v>
      </c>
      <c r="B1176" s="10">
        <v>2.1071929935894498</v>
      </c>
      <c r="C1176" s="10">
        <v>2.08380490238949</v>
      </c>
      <c r="D1176" s="10">
        <v>30.7746223527962</v>
      </c>
      <c r="E1176" s="10">
        <v>5.1956294952215795E-4</v>
      </c>
      <c r="F1176" s="10" t="str">
        <f>"HCAR1"</f>
        <v>HCAR1</v>
      </c>
      <c r="G1176" s="10" t="str">
        <f t="shared" si="42"/>
        <v>protein_coding</v>
      </c>
      <c r="J1176" s="14"/>
    </row>
    <row r="1177" spans="1:10" x14ac:dyDescent="0.2">
      <c r="A1177" s="10" t="str">
        <f>"ENSG00000130783.13"</f>
        <v>ENSG00000130783.13</v>
      </c>
      <c r="B1177" s="10">
        <v>-1.23318169301912</v>
      </c>
      <c r="C1177" s="10">
        <v>-0.302040502636791</v>
      </c>
      <c r="D1177" s="10">
        <v>6.1139491640670904</v>
      </c>
      <c r="E1177" s="10">
        <v>3.8202517755094298E-2</v>
      </c>
      <c r="F1177" s="10" t="str">
        <f>"CCDC62"</f>
        <v>CCDC62</v>
      </c>
      <c r="G1177" s="10" t="str">
        <f t="shared" si="42"/>
        <v>protein_coding</v>
      </c>
      <c r="J1177" s="14"/>
    </row>
    <row r="1178" spans="1:10" x14ac:dyDescent="0.2">
      <c r="A1178" s="10" t="str">
        <f>"ENSG00000256092.2"</f>
        <v>ENSG00000256092.2</v>
      </c>
      <c r="B1178" s="10">
        <v>-1.4687582347118699</v>
      </c>
      <c r="C1178" s="10">
        <v>2.2686826169523799</v>
      </c>
      <c r="D1178" s="10">
        <v>27.569238827813098</v>
      </c>
      <c r="E1178" s="10">
        <v>7.0712239544473297E-4</v>
      </c>
      <c r="F1178" s="10" t="str">
        <f>"AC137767.1"</f>
        <v>AC137767.1</v>
      </c>
      <c r="G1178" s="10" t="str">
        <f>"lincRNA"</f>
        <v>lincRNA</v>
      </c>
      <c r="J1178" s="14"/>
    </row>
    <row r="1179" spans="1:10" x14ac:dyDescent="0.2">
      <c r="A1179" s="10" t="str">
        <f>"ENSG00000197653.15"</f>
        <v>ENSG00000197653.15</v>
      </c>
      <c r="B1179" s="10">
        <v>-1.33764061322175</v>
      </c>
      <c r="C1179" s="10">
        <v>2.6023704337851701</v>
      </c>
      <c r="D1179" s="10">
        <v>7.0147883437807304</v>
      </c>
      <c r="E1179" s="10">
        <v>2.9011004136695901E-2</v>
      </c>
      <c r="F1179" s="10" t="str">
        <f>"DNAH10"</f>
        <v>DNAH10</v>
      </c>
      <c r="G1179" s="10" t="str">
        <f>"protein_coding"</f>
        <v>protein_coding</v>
      </c>
      <c r="J1179" s="14"/>
    </row>
    <row r="1180" spans="1:10" x14ac:dyDescent="0.2">
      <c r="A1180" s="10" t="str">
        <f>"ENSG00000119242.8"</f>
        <v>ENSG00000119242.8</v>
      </c>
      <c r="B1180" s="10">
        <v>-1.0861046804446199</v>
      </c>
      <c r="C1180" s="10">
        <v>5.0307723557349702</v>
      </c>
      <c r="D1180" s="10">
        <v>6.74582897483356</v>
      </c>
      <c r="E1180" s="10">
        <v>3.14300781514186E-2</v>
      </c>
      <c r="F1180" s="10" t="str">
        <f>"CCDC92"</f>
        <v>CCDC92</v>
      </c>
      <c r="G1180" s="10" t="str">
        <f>"protein_coding"</f>
        <v>protein_coding</v>
      </c>
      <c r="J1180" s="14"/>
    </row>
    <row r="1181" spans="1:10" x14ac:dyDescent="0.2">
      <c r="A1181" s="10" t="str">
        <f>"ENSG00000139364.10"</f>
        <v>ENSG00000139364.10</v>
      </c>
      <c r="B1181" s="10">
        <v>-1.42867746661155</v>
      </c>
      <c r="C1181" s="10">
        <v>8.2996966903891897E-2</v>
      </c>
      <c r="D1181" s="10">
        <v>8.7232220801037492</v>
      </c>
      <c r="E1181" s="10">
        <v>1.8079425515363099E-2</v>
      </c>
      <c r="F1181" s="10" t="str">
        <f>"TMEM132B"</f>
        <v>TMEM132B</v>
      </c>
      <c r="G1181" s="10" t="str">
        <f>"protein_coding"</f>
        <v>protein_coding</v>
      </c>
      <c r="J1181" s="14"/>
    </row>
    <row r="1182" spans="1:10" x14ac:dyDescent="0.2">
      <c r="A1182" s="10" t="str">
        <f>"ENSG00000249267.6"</f>
        <v>ENSG00000249267.6</v>
      </c>
      <c r="B1182" s="10">
        <v>-1.64492697642201</v>
      </c>
      <c r="C1182" s="10">
        <v>-0.65340075081442694</v>
      </c>
      <c r="D1182" s="10">
        <v>12.203683025101499</v>
      </c>
      <c r="E1182" s="10">
        <v>7.7933731150822303E-3</v>
      </c>
      <c r="F1182" s="10" t="str">
        <f>"LINC00939"</f>
        <v>LINC00939</v>
      </c>
      <c r="G1182" s="10" t="str">
        <f>"lincRNA"</f>
        <v>lincRNA</v>
      </c>
      <c r="J1182" s="14"/>
    </row>
    <row r="1183" spans="1:10" x14ac:dyDescent="0.2">
      <c r="A1183" s="10" t="str">
        <f>"ENSG00000111452.13"</f>
        <v>ENSG00000111452.13</v>
      </c>
      <c r="B1183" s="10">
        <v>-1.3233667528411801</v>
      </c>
      <c r="C1183" s="10">
        <v>0.66241116046955095</v>
      </c>
      <c r="D1183" s="10">
        <v>11.9999888971253</v>
      </c>
      <c r="E1183" s="10">
        <v>8.3557939936246897E-3</v>
      </c>
      <c r="F1183" s="10" t="str">
        <f>"ADGRD1"</f>
        <v>ADGRD1</v>
      </c>
      <c r="G1183" s="10" t="str">
        <f>"protein_coding"</f>
        <v>protein_coding</v>
      </c>
      <c r="J1183" s="14"/>
    </row>
    <row r="1184" spans="1:10" x14ac:dyDescent="0.2">
      <c r="A1184" s="10" t="str">
        <f>"ENSG00000172458.4"</f>
        <v>ENSG00000172458.4</v>
      </c>
      <c r="B1184" s="10">
        <v>-2.2428771799533598</v>
      </c>
      <c r="C1184" s="10">
        <v>0.94426325990611704</v>
      </c>
      <c r="D1184" s="10">
        <v>23.268645983256398</v>
      </c>
      <c r="E1184" s="10">
        <v>1.2700232111611601E-3</v>
      </c>
      <c r="F1184" s="10" t="str">
        <f>"IL17D"</f>
        <v>IL17D</v>
      </c>
      <c r="G1184" s="10" t="str">
        <f>"protein_coding"</f>
        <v>protein_coding</v>
      </c>
      <c r="J1184" s="14"/>
    </row>
    <row r="1185" spans="1:10" x14ac:dyDescent="0.2">
      <c r="A1185" s="10" t="str">
        <f>"ENSG00000253771.6"</f>
        <v>ENSG00000253771.6</v>
      </c>
      <c r="B1185" s="10">
        <v>3.4151251835697201</v>
      </c>
      <c r="C1185" s="10">
        <v>-2.07927304360167</v>
      </c>
      <c r="D1185" s="10">
        <v>12.0911672518789</v>
      </c>
      <c r="E1185" s="10">
        <v>8.0543941337524304E-3</v>
      </c>
      <c r="F1185" s="10" t="str">
        <f>"TPTE2P1"</f>
        <v>TPTE2P1</v>
      </c>
      <c r="G1185" s="10" t="str">
        <f>"transcribed_unprocessed_pseudogene"</f>
        <v>transcribed_unprocessed_pseudogene</v>
      </c>
      <c r="J1185" s="14"/>
    </row>
    <row r="1186" spans="1:10" x14ac:dyDescent="0.2">
      <c r="A1186" s="10" t="str">
        <f>"ENSG00000132932.17"</f>
        <v>ENSG00000132932.17</v>
      </c>
      <c r="B1186" s="10">
        <v>-1.04814879325771</v>
      </c>
      <c r="C1186" s="10">
        <v>0.88562017218845701</v>
      </c>
      <c r="D1186" s="10">
        <v>6.0209610238887397</v>
      </c>
      <c r="E1186" s="10">
        <v>3.9349969503408501E-2</v>
      </c>
      <c r="F1186" s="10" t="str">
        <f>"ATP8A2"</f>
        <v>ATP8A2</v>
      </c>
      <c r="G1186" s="10" t="str">
        <f>"protein_coding"</f>
        <v>protein_coding</v>
      </c>
      <c r="J1186" s="14"/>
    </row>
    <row r="1187" spans="1:10" x14ac:dyDescent="0.2">
      <c r="A1187" s="10" t="str">
        <f>"ENSG00000073910.21"</f>
        <v>ENSG00000073910.21</v>
      </c>
      <c r="B1187" s="10">
        <v>1.1376738885397999</v>
      </c>
      <c r="C1187" s="10">
        <v>3.6242805230936201</v>
      </c>
      <c r="D1187" s="10">
        <v>18.091336880306901</v>
      </c>
      <c r="E1187" s="10">
        <v>2.7090892821914898E-3</v>
      </c>
      <c r="F1187" s="10" t="str">
        <f>"FRY"</f>
        <v>FRY</v>
      </c>
      <c r="G1187" s="10" t="str">
        <f>"protein_coding"</f>
        <v>protein_coding</v>
      </c>
      <c r="J1187" s="14"/>
    </row>
    <row r="1188" spans="1:10" x14ac:dyDescent="0.2">
      <c r="A1188" s="10" t="str">
        <f>"ENSG00000133121.21"</f>
        <v>ENSG00000133121.21</v>
      </c>
      <c r="B1188" s="10">
        <v>1.1274117755523301</v>
      </c>
      <c r="C1188" s="10">
        <v>3.9219257573811599</v>
      </c>
      <c r="D1188" s="10">
        <v>29.552868993542099</v>
      </c>
      <c r="E1188" s="10">
        <v>5.6007706254016301E-4</v>
      </c>
      <c r="F1188" s="10" t="str">
        <f>"STARD13"</f>
        <v>STARD13</v>
      </c>
      <c r="G1188" s="10" t="str">
        <f>"protein_coding"</f>
        <v>protein_coding</v>
      </c>
      <c r="J1188" s="14"/>
    </row>
    <row r="1189" spans="1:10" x14ac:dyDescent="0.2">
      <c r="A1189" s="10" t="str">
        <f>"ENSG00000183722.9"</f>
        <v>ENSG00000183722.9</v>
      </c>
      <c r="B1189" s="10">
        <v>-2.7948261253726998</v>
      </c>
      <c r="C1189" s="10">
        <v>-0.74172696680341699</v>
      </c>
      <c r="D1189" s="10">
        <v>28.066084292373699</v>
      </c>
      <c r="E1189" s="10">
        <v>6.6369537825200497E-4</v>
      </c>
      <c r="F1189" s="10" t="str">
        <f>"LHFPL6"</f>
        <v>LHFPL6</v>
      </c>
      <c r="G1189" s="10" t="str">
        <f>"protein_coding"</f>
        <v>protein_coding</v>
      </c>
      <c r="J1189" s="14"/>
    </row>
    <row r="1190" spans="1:10" x14ac:dyDescent="0.2">
      <c r="A1190" s="10" t="str">
        <f>"ENSG00000237361.2"</f>
        <v>ENSG00000237361.2</v>
      </c>
      <c r="B1190" s="10">
        <v>1.0811111725154701</v>
      </c>
      <c r="C1190" s="10">
        <v>0.592245248888283</v>
      </c>
      <c r="D1190" s="10">
        <v>8.7330172596581495</v>
      </c>
      <c r="E1190" s="10">
        <v>1.78933020346413E-2</v>
      </c>
      <c r="F1190" s="10" t="str">
        <f>"TUSC8"</f>
        <v>TUSC8</v>
      </c>
      <c r="G1190" s="10" t="str">
        <f>"lincRNA"</f>
        <v>lincRNA</v>
      </c>
      <c r="J1190" s="14"/>
    </row>
    <row r="1191" spans="1:10" x14ac:dyDescent="0.2">
      <c r="A1191" s="10" t="str">
        <f>"ENSG00000139679.15"</f>
        <v>ENSG00000139679.15</v>
      </c>
      <c r="B1191" s="10">
        <v>2.02547251509134</v>
      </c>
      <c r="C1191" s="10">
        <v>4.9838526650963004</v>
      </c>
      <c r="D1191" s="10">
        <v>8.1250591621252397</v>
      </c>
      <c r="E1191" s="10">
        <v>2.1195882153148798E-2</v>
      </c>
      <c r="F1191" s="10" t="str">
        <f>"LPAR6"</f>
        <v>LPAR6</v>
      </c>
      <c r="G1191" s="10" t="str">
        <f>"protein_coding"</f>
        <v>protein_coding</v>
      </c>
      <c r="J1191" s="14"/>
    </row>
    <row r="1192" spans="1:10" x14ac:dyDescent="0.2">
      <c r="A1192" s="10" t="str">
        <f>"ENSG00000231665.1"</f>
        <v>ENSG00000231665.1</v>
      </c>
      <c r="B1192" s="10">
        <v>-1.7856710945319001</v>
      </c>
      <c r="C1192" s="10">
        <v>-1.4093534560933401</v>
      </c>
      <c r="D1192" s="10">
        <v>9.5067453076527499</v>
      </c>
      <c r="E1192" s="10">
        <v>1.4520486759044399E-2</v>
      </c>
      <c r="F1192" s="10" t="str">
        <f>"OGFOD1P1"</f>
        <v>OGFOD1P1</v>
      </c>
      <c r="G1192" s="10" t="str">
        <f>"processed_pseudogene"</f>
        <v>processed_pseudogene</v>
      </c>
      <c r="J1192" s="14"/>
    </row>
    <row r="1193" spans="1:10" x14ac:dyDescent="0.2">
      <c r="A1193" s="10" t="str">
        <f>"ENSG00000102539.5"</f>
        <v>ENSG00000102539.5</v>
      </c>
      <c r="B1193" s="10">
        <v>-1.73158277310909</v>
      </c>
      <c r="C1193" s="10">
        <v>1.2584222223079</v>
      </c>
      <c r="D1193" s="10">
        <v>12.1469135079852</v>
      </c>
      <c r="E1193" s="10">
        <v>8.09837298542955E-3</v>
      </c>
      <c r="F1193" s="10" t="str">
        <f>"MLNR"</f>
        <v>MLNR</v>
      </c>
      <c r="G1193" s="10" t="str">
        <f t="shared" ref="G1193:G1198" si="43">"protein_coding"</f>
        <v>protein_coding</v>
      </c>
      <c r="J1193" s="14"/>
    </row>
    <row r="1194" spans="1:10" x14ac:dyDescent="0.2">
      <c r="A1194" s="10" t="str">
        <f>"ENSG00000136169.16"</f>
        <v>ENSG00000136169.16</v>
      </c>
      <c r="B1194" s="10">
        <v>1.14862145821782</v>
      </c>
      <c r="C1194" s="10">
        <v>3.8267057994678799</v>
      </c>
      <c r="D1194" s="10">
        <v>16.987050788735999</v>
      </c>
      <c r="E1194" s="10">
        <v>3.2497068053742601E-3</v>
      </c>
      <c r="F1194" s="10" t="str">
        <f>"SETDB2"</f>
        <v>SETDB2</v>
      </c>
      <c r="G1194" s="10" t="str">
        <f t="shared" si="43"/>
        <v>protein_coding</v>
      </c>
      <c r="J1194" s="14"/>
    </row>
    <row r="1195" spans="1:10" x14ac:dyDescent="0.2">
      <c r="A1195" s="10" t="str">
        <f>"ENSG00000253309.6"</f>
        <v>ENSG00000253309.6</v>
      </c>
      <c r="B1195" s="10">
        <v>-3.3340327502199898</v>
      </c>
      <c r="C1195" s="10">
        <v>-1.50334538286703</v>
      </c>
      <c r="D1195" s="10">
        <v>5.4591856199713202</v>
      </c>
      <c r="E1195" s="10">
        <v>4.7298563197160998E-2</v>
      </c>
      <c r="F1195" s="10" t="str">
        <f>"SERPINE3"</f>
        <v>SERPINE3</v>
      </c>
      <c r="G1195" s="10" t="str">
        <f t="shared" si="43"/>
        <v>protein_coding</v>
      </c>
      <c r="J1195" s="14"/>
    </row>
    <row r="1196" spans="1:10" x14ac:dyDescent="0.2">
      <c r="A1196" s="10" t="str">
        <f>"ENSG00000118922.17"</f>
        <v>ENSG00000118922.17</v>
      </c>
      <c r="B1196" s="10">
        <v>1.4892152597594599</v>
      </c>
      <c r="C1196" s="10">
        <v>1.5525698623141599</v>
      </c>
      <c r="D1196" s="10">
        <v>7.8281571383997504</v>
      </c>
      <c r="E1196" s="10">
        <v>2.2994401663449598E-2</v>
      </c>
      <c r="F1196" s="10" t="str">
        <f>"KLF12"</f>
        <v>KLF12</v>
      </c>
      <c r="G1196" s="10" t="str">
        <f t="shared" si="43"/>
        <v>protein_coding</v>
      </c>
      <c r="J1196" s="14"/>
    </row>
    <row r="1197" spans="1:10" x14ac:dyDescent="0.2">
      <c r="A1197" s="10" t="str">
        <f>"ENSG00000178695.5"</f>
        <v>ENSG00000178695.5</v>
      </c>
      <c r="B1197" s="10">
        <v>-2.8236489009752299</v>
      </c>
      <c r="C1197" s="10">
        <v>-0.74517412983365505</v>
      </c>
      <c r="D1197" s="10">
        <v>14.271287771035199</v>
      </c>
      <c r="E1197" s="10">
        <v>5.2849964169811E-3</v>
      </c>
      <c r="F1197" s="10" t="str">
        <f>"KCTD12"</f>
        <v>KCTD12</v>
      </c>
      <c r="G1197" s="10" t="str">
        <f t="shared" si="43"/>
        <v>protein_coding</v>
      </c>
      <c r="J1197" s="14"/>
    </row>
    <row r="1198" spans="1:10" x14ac:dyDescent="0.2">
      <c r="A1198" s="10" t="str">
        <f>"ENSG00000179399.15"</f>
        <v>ENSG00000179399.15</v>
      </c>
      <c r="B1198" s="10">
        <v>-1.52032169661109</v>
      </c>
      <c r="C1198" s="10">
        <v>-1.5446094291497501</v>
      </c>
      <c r="D1198" s="10">
        <v>5.6386807740750502</v>
      </c>
      <c r="E1198" s="10">
        <v>4.4056807317598999E-2</v>
      </c>
      <c r="F1198" s="10" t="str">
        <f>"GPC5"</f>
        <v>GPC5</v>
      </c>
      <c r="G1198" s="10" t="str">
        <f t="shared" si="43"/>
        <v>protein_coding</v>
      </c>
      <c r="J1198" s="14"/>
    </row>
    <row r="1199" spans="1:10" x14ac:dyDescent="0.2">
      <c r="A1199" s="10" t="str">
        <f>"ENSG00000223392.1"</f>
        <v>ENSG00000223392.1</v>
      </c>
      <c r="B1199" s="10">
        <v>2.3503785618910502</v>
      </c>
      <c r="C1199" s="10">
        <v>-1.2334693494022599</v>
      </c>
      <c r="D1199" s="10">
        <v>7.4688953148679698</v>
      </c>
      <c r="E1199" s="10">
        <v>2.5436143346352299E-2</v>
      </c>
      <c r="F1199" s="10" t="str">
        <f>"CLDN10-AS1"</f>
        <v>CLDN10-AS1</v>
      </c>
      <c r="G1199" s="10" t="str">
        <f>"antisense"</f>
        <v>antisense</v>
      </c>
      <c r="J1199" s="14"/>
    </row>
    <row r="1200" spans="1:10" x14ac:dyDescent="0.2">
      <c r="A1200" s="10" t="str">
        <f>"ENSG00000260992.1"</f>
        <v>ENSG00000260992.1</v>
      </c>
      <c r="B1200" s="10">
        <v>-3.1449123502581702</v>
      </c>
      <c r="C1200" s="10">
        <v>-2.09795321320115</v>
      </c>
      <c r="D1200" s="10">
        <v>5.37691347339823</v>
      </c>
      <c r="E1200" s="10">
        <v>4.8628572280214902E-2</v>
      </c>
      <c r="F1200" s="10" t="str">
        <f>"DOCK9-DT"</f>
        <v>DOCK9-DT</v>
      </c>
      <c r="G1200" s="10" t="str">
        <f>"antisense"</f>
        <v>antisense</v>
      </c>
      <c r="J1200" s="14"/>
    </row>
    <row r="1201" spans="1:10" x14ac:dyDescent="0.2">
      <c r="A1201" s="10" t="str">
        <f>"ENSG00000125246.15"</f>
        <v>ENSG00000125246.15</v>
      </c>
      <c r="B1201" s="10">
        <v>1.1027703102347399</v>
      </c>
      <c r="C1201" s="10">
        <v>3.0817301760157898</v>
      </c>
      <c r="D1201" s="10">
        <v>16.577205268017401</v>
      </c>
      <c r="E1201" s="10">
        <v>3.4842776711063199E-3</v>
      </c>
      <c r="F1201" s="10" t="str">
        <f>"CLYBL"</f>
        <v>CLYBL</v>
      </c>
      <c r="G1201" s="10" t="str">
        <f>"protein_coding"</f>
        <v>protein_coding</v>
      </c>
      <c r="J1201" s="14"/>
    </row>
    <row r="1202" spans="1:10" x14ac:dyDescent="0.2">
      <c r="A1202" s="10" t="str">
        <f>"ENSG00000041515.16"</f>
        <v>ENSG00000041515.16</v>
      </c>
      <c r="B1202" s="10">
        <v>-1.57429721233728</v>
      </c>
      <c r="C1202" s="10">
        <v>-1.88896010658799</v>
      </c>
      <c r="D1202" s="10">
        <v>5.3377000476268703</v>
      </c>
      <c r="E1202" s="10">
        <v>4.8764449639871699E-2</v>
      </c>
      <c r="F1202" s="10" t="str">
        <f>"MYO16"</f>
        <v>MYO16</v>
      </c>
      <c r="G1202" s="10" t="str">
        <f>"protein_coding"</f>
        <v>protein_coding</v>
      </c>
      <c r="J1202" s="14"/>
    </row>
    <row r="1203" spans="1:10" x14ac:dyDescent="0.2">
      <c r="A1203" s="10" t="str">
        <f>"ENSG00000187498.16"</f>
        <v>ENSG00000187498.16</v>
      </c>
      <c r="B1203" s="10">
        <v>-1.56130853005342</v>
      </c>
      <c r="C1203" s="10">
        <v>-0.13061326453862801</v>
      </c>
      <c r="D1203" s="10">
        <v>6.77631212060348</v>
      </c>
      <c r="E1203" s="10">
        <v>3.1143405228856901E-2</v>
      </c>
      <c r="F1203" s="10" t="str">
        <f>"COL4A1"</f>
        <v>COL4A1</v>
      </c>
      <c r="G1203" s="10" t="str">
        <f>"protein_coding"</f>
        <v>protein_coding</v>
      </c>
      <c r="J1203" s="14"/>
    </row>
    <row r="1204" spans="1:10" x14ac:dyDescent="0.2">
      <c r="A1204" s="10" t="str">
        <f>"ENSG00000057593.13"</f>
        <v>ENSG00000057593.13</v>
      </c>
      <c r="B1204" s="10">
        <v>1.9091620642390399</v>
      </c>
      <c r="C1204" s="10">
        <v>2.7794573497165902</v>
      </c>
      <c r="D1204" s="10">
        <v>17.9647004054099</v>
      </c>
      <c r="E1204" s="10">
        <v>2.76506114318174E-3</v>
      </c>
      <c r="F1204" s="10" t="str">
        <f>"F7"</f>
        <v>F7</v>
      </c>
      <c r="G1204" s="10" t="str">
        <f>"protein_coding"</f>
        <v>protein_coding</v>
      </c>
      <c r="J1204" s="14"/>
    </row>
    <row r="1205" spans="1:10" x14ac:dyDescent="0.2">
      <c r="A1205" s="10" t="str">
        <f>"ENSG00000222489.1"</f>
        <v>ENSG00000222489.1</v>
      </c>
      <c r="B1205" s="10">
        <v>-1.0320734235875899</v>
      </c>
      <c r="C1205" s="10">
        <v>-0.45831234130328102</v>
      </c>
      <c r="D1205" s="10">
        <v>6.5756804653265597</v>
      </c>
      <c r="E1205" s="10">
        <v>3.26512529428888E-2</v>
      </c>
      <c r="F1205" s="10" t="str">
        <f>"SNORA79B"</f>
        <v>SNORA79B</v>
      </c>
      <c r="G1205" s="10" t="str">
        <f>"snoRNA"</f>
        <v>snoRNA</v>
      </c>
      <c r="J1205" s="14"/>
    </row>
    <row r="1206" spans="1:10" x14ac:dyDescent="0.2">
      <c r="A1206" s="10" t="str">
        <f>"ENSG00000258818.4"</f>
        <v>ENSG00000258818.4</v>
      </c>
      <c r="B1206" s="10">
        <v>1.4984462705620001</v>
      </c>
      <c r="C1206" s="10">
        <v>-0.20509183322317701</v>
      </c>
      <c r="D1206" s="10">
        <v>11.546061762832201</v>
      </c>
      <c r="E1206" s="10">
        <v>9.1600052285087004E-3</v>
      </c>
      <c r="F1206" s="10" t="str">
        <f>"RNASE4"</f>
        <v>RNASE4</v>
      </c>
      <c r="G1206" s="10" t="str">
        <f t="shared" ref="G1206:G1215" si="44">"protein_coding"</f>
        <v>protein_coding</v>
      </c>
      <c r="J1206" s="14"/>
    </row>
    <row r="1207" spans="1:10" x14ac:dyDescent="0.2">
      <c r="A1207" s="10" t="str">
        <f>"ENSG00000165799.5"</f>
        <v>ENSG00000165799.5</v>
      </c>
      <c r="B1207" s="10">
        <v>1.16197971387822</v>
      </c>
      <c r="C1207" s="10">
        <v>0.68061288257382901</v>
      </c>
      <c r="D1207" s="10">
        <v>5.7393837610788196</v>
      </c>
      <c r="E1207" s="10">
        <v>4.3102054393710801E-2</v>
      </c>
      <c r="F1207" s="10" t="str">
        <f>"RNASE7"</f>
        <v>RNASE7</v>
      </c>
      <c r="G1207" s="10" t="str">
        <f t="shared" si="44"/>
        <v>protein_coding</v>
      </c>
      <c r="J1207" s="14"/>
    </row>
    <row r="1208" spans="1:10" x14ac:dyDescent="0.2">
      <c r="A1208" s="10" t="str">
        <f>"ENSG00000157227.13"</f>
        <v>ENSG00000157227.13</v>
      </c>
      <c r="B1208" s="10">
        <v>-1.30953027758775</v>
      </c>
      <c r="C1208" s="10">
        <v>6.1963879189787496</v>
      </c>
      <c r="D1208" s="10">
        <v>11.788740099377399</v>
      </c>
      <c r="E1208" s="10">
        <v>8.7441638789505904E-3</v>
      </c>
      <c r="F1208" s="10" t="str">
        <f>"MMP14"</f>
        <v>MMP14</v>
      </c>
      <c r="G1208" s="10" t="str">
        <f t="shared" si="44"/>
        <v>protein_coding</v>
      </c>
      <c r="J1208" s="14"/>
    </row>
    <row r="1209" spans="1:10" x14ac:dyDescent="0.2">
      <c r="A1209" s="10" t="str">
        <f>"ENSG00000139890.10"</f>
        <v>ENSG00000139890.10</v>
      </c>
      <c r="B1209" s="10">
        <v>-2.7918779800065301</v>
      </c>
      <c r="C1209" s="10">
        <v>-1.80422963211412</v>
      </c>
      <c r="D1209" s="10">
        <v>9.6650619634371395</v>
      </c>
      <c r="E1209" s="10">
        <v>1.42519876215885E-2</v>
      </c>
      <c r="F1209" s="10" t="str">
        <f>"REM2"</f>
        <v>REM2</v>
      </c>
      <c r="G1209" s="10" t="str">
        <f t="shared" si="44"/>
        <v>protein_coding</v>
      </c>
      <c r="J1209" s="14"/>
    </row>
    <row r="1210" spans="1:10" x14ac:dyDescent="0.2">
      <c r="A1210" s="10" t="str">
        <f>"ENSG00000139880.19"</f>
        <v>ENSG00000139880.19</v>
      </c>
      <c r="B1210" s="10">
        <v>-1.7795266021978899</v>
      </c>
      <c r="C1210" s="10">
        <v>4.28150375765129</v>
      </c>
      <c r="D1210" s="10">
        <v>5.9462981047036001</v>
      </c>
      <c r="E1210" s="10">
        <v>4.0303090840100003E-2</v>
      </c>
      <c r="F1210" s="10" t="str">
        <f>"CDH24"</f>
        <v>CDH24</v>
      </c>
      <c r="G1210" s="10" t="str">
        <f t="shared" si="44"/>
        <v>protein_coding</v>
      </c>
      <c r="J1210" s="14"/>
    </row>
    <row r="1211" spans="1:10" x14ac:dyDescent="0.2">
      <c r="A1211" s="10" t="str">
        <f>"ENSG00000139914.6"</f>
        <v>ENSG00000139914.6</v>
      </c>
      <c r="B1211" s="10">
        <v>1.34015063445334</v>
      </c>
      <c r="C1211" s="10">
        <v>-0.42370304770879302</v>
      </c>
      <c r="D1211" s="10">
        <v>6.8783253934320001</v>
      </c>
      <c r="E1211" s="10">
        <v>3.0207769038090901E-2</v>
      </c>
      <c r="F1211" s="10" t="str">
        <f>"FITM1"</f>
        <v>FITM1</v>
      </c>
      <c r="G1211" s="10" t="str">
        <f t="shared" si="44"/>
        <v>protein_coding</v>
      </c>
      <c r="J1211" s="14"/>
    </row>
    <row r="1212" spans="1:10" x14ac:dyDescent="0.2">
      <c r="A1212" s="10" t="str">
        <f>"ENSG00000092010.15"</f>
        <v>ENSG00000092010.15</v>
      </c>
      <c r="B1212" s="10">
        <v>-1.0650068270154001</v>
      </c>
      <c r="C1212" s="10">
        <v>6.9647957592700998</v>
      </c>
      <c r="D1212" s="10">
        <v>29.437658279499399</v>
      </c>
      <c r="E1212" s="10">
        <v>5.6735188188715695E-4</v>
      </c>
      <c r="F1212" s="10" t="str">
        <f>"PSME1"</f>
        <v>PSME1</v>
      </c>
      <c r="G1212" s="10" t="str">
        <f t="shared" si="44"/>
        <v>protein_coding</v>
      </c>
      <c r="J1212" s="14"/>
    </row>
    <row r="1213" spans="1:10" x14ac:dyDescent="0.2">
      <c r="A1213" s="10" t="str">
        <f>"ENSG00000259529.2"</f>
        <v>ENSG00000259529.2</v>
      </c>
      <c r="B1213" s="10">
        <v>-1.08038221282108</v>
      </c>
      <c r="C1213" s="10">
        <v>-0.20444156543589501</v>
      </c>
      <c r="D1213" s="10">
        <v>7.8726398033811504</v>
      </c>
      <c r="E1213" s="10">
        <v>2.2341097968127801E-2</v>
      </c>
      <c r="F1213" s="10" t="str">
        <f>"AL136295.5"</f>
        <v>AL136295.5</v>
      </c>
      <c r="G1213" s="10" t="str">
        <f t="shared" si="44"/>
        <v>protein_coding</v>
      </c>
      <c r="J1213" s="14"/>
    </row>
    <row r="1214" spans="1:10" x14ac:dyDescent="0.2">
      <c r="A1214" s="10" t="str">
        <f>"ENSG00000092009.10"</f>
        <v>ENSG00000092009.10</v>
      </c>
      <c r="B1214" s="10">
        <v>-1.98898583317203</v>
      </c>
      <c r="C1214" s="10">
        <v>-1.0999024587239401</v>
      </c>
      <c r="D1214" s="10">
        <v>8.1366051721929704</v>
      </c>
      <c r="E1214" s="10">
        <v>2.11295873724986E-2</v>
      </c>
      <c r="F1214" s="10" t="str">
        <f>"CMA1"</f>
        <v>CMA1</v>
      </c>
      <c r="G1214" s="10" t="str">
        <f t="shared" si="44"/>
        <v>protein_coding</v>
      </c>
      <c r="J1214" s="14"/>
    </row>
    <row r="1215" spans="1:10" x14ac:dyDescent="0.2">
      <c r="A1215" s="10" t="str">
        <f>"ENSG00000203546.7"</f>
        <v>ENSG00000203546.7</v>
      </c>
      <c r="B1215" s="10">
        <v>-2.05470944647307</v>
      </c>
      <c r="C1215" s="10">
        <v>-5.1052443764078102E-2</v>
      </c>
      <c r="D1215" s="10">
        <v>20.165568099261201</v>
      </c>
      <c r="E1215" s="10">
        <v>1.9654451260210102E-3</v>
      </c>
      <c r="F1215" s="10" t="str">
        <f>"AL139353.1"</f>
        <v>AL139353.1</v>
      </c>
      <c r="G1215" s="10" t="str">
        <f t="shared" si="44"/>
        <v>protein_coding</v>
      </c>
      <c r="J1215" s="14"/>
    </row>
    <row r="1216" spans="1:10" x14ac:dyDescent="0.2">
      <c r="A1216" s="10" t="str">
        <f>"ENSG00000258474.1"</f>
        <v>ENSG00000258474.1</v>
      </c>
      <c r="B1216" s="10">
        <v>1.64015041232351</v>
      </c>
      <c r="C1216" s="10">
        <v>1.6937971151546301</v>
      </c>
      <c r="D1216" s="10">
        <v>27.4062460192625</v>
      </c>
      <c r="E1216" s="10">
        <v>7.3366278382003204E-4</v>
      </c>
      <c r="F1216" s="10" t="str">
        <f>"LINC02313"</f>
        <v>LINC02313</v>
      </c>
      <c r="G1216" s="10" t="str">
        <f>"lincRNA"</f>
        <v>lincRNA</v>
      </c>
      <c r="J1216" s="14"/>
    </row>
    <row r="1217" spans="1:10" x14ac:dyDescent="0.2">
      <c r="A1217" s="10" t="str">
        <f>"ENSG00000206596.1"</f>
        <v>ENSG00000206596.1</v>
      </c>
      <c r="B1217" s="10">
        <v>-2.55191741471452</v>
      </c>
      <c r="C1217" s="10">
        <v>-1.34542416528903</v>
      </c>
      <c r="D1217" s="10">
        <v>16.776918061650299</v>
      </c>
      <c r="E1217" s="10">
        <v>3.24890536611881E-3</v>
      </c>
      <c r="F1217" s="10" t="str">
        <f>"RNU1-27P"</f>
        <v>RNU1-27P</v>
      </c>
      <c r="G1217" s="10" t="str">
        <f>"snRNA"</f>
        <v>snRNA</v>
      </c>
      <c r="J1217" s="14"/>
    </row>
    <row r="1218" spans="1:10" x14ac:dyDescent="0.2">
      <c r="A1218" s="10" t="str">
        <f>"ENSG00000206588.1"</f>
        <v>ENSG00000206588.1</v>
      </c>
      <c r="B1218" s="10">
        <v>-3.6611191095593099</v>
      </c>
      <c r="C1218" s="10">
        <v>-0.54342224303157505</v>
      </c>
      <c r="D1218" s="10">
        <v>43.304209472327202</v>
      </c>
      <c r="E1218" s="10">
        <v>1.5171640059243101E-4</v>
      </c>
      <c r="F1218" s="10" t="str">
        <f>"RNU1-28P"</f>
        <v>RNU1-28P</v>
      </c>
      <c r="G1218" s="10" t="str">
        <f>"snRNA"</f>
        <v>snRNA</v>
      </c>
      <c r="J1218" s="14"/>
    </row>
    <row r="1219" spans="1:10" x14ac:dyDescent="0.2">
      <c r="A1219" s="10" t="str">
        <f>"ENSG00000259022.2"</f>
        <v>ENSG00000259022.2</v>
      </c>
      <c r="B1219" s="10">
        <v>-1.3064438091919099</v>
      </c>
      <c r="C1219" s="10">
        <v>-0.48340091043702599</v>
      </c>
      <c r="D1219" s="10">
        <v>10.376971742363301</v>
      </c>
      <c r="E1219" s="10">
        <v>1.1751231427365999E-2</v>
      </c>
      <c r="F1219" s="10" t="str">
        <f>"DNAJC8P1"</f>
        <v>DNAJC8P1</v>
      </c>
      <c r="G1219" s="10" t="str">
        <f>"processed_pseudogene"</f>
        <v>processed_pseudogene</v>
      </c>
      <c r="J1219" s="14"/>
    </row>
    <row r="1220" spans="1:10" x14ac:dyDescent="0.2">
      <c r="A1220" s="10" t="str">
        <f>"ENSG00000168348.4"</f>
        <v>ENSG00000168348.4</v>
      </c>
      <c r="B1220" s="10">
        <v>-3.1173899819237199</v>
      </c>
      <c r="C1220" s="10">
        <v>9.7403717522036304E-2</v>
      </c>
      <c r="D1220" s="10">
        <v>20.582973588011299</v>
      </c>
      <c r="E1220" s="10">
        <v>1.8480634664284699E-3</v>
      </c>
      <c r="F1220" s="10" t="str">
        <f>"INSM2"</f>
        <v>INSM2</v>
      </c>
      <c r="G1220" s="10" t="str">
        <f>"protein_coding"</f>
        <v>protein_coding</v>
      </c>
      <c r="J1220" s="14"/>
    </row>
    <row r="1221" spans="1:10" x14ac:dyDescent="0.2">
      <c r="A1221" s="10" t="str">
        <f>"ENSG00000174373.16"</f>
        <v>ENSG00000174373.16</v>
      </c>
      <c r="B1221" s="10">
        <v>1.33838539874958</v>
      </c>
      <c r="C1221" s="10">
        <v>6.4712423378561299</v>
      </c>
      <c r="D1221" s="10">
        <v>11.494242043089899</v>
      </c>
      <c r="E1221" s="10">
        <v>9.3241539128704996E-3</v>
      </c>
      <c r="F1221" s="10" t="str">
        <f>"RALGAPA1"</f>
        <v>RALGAPA1</v>
      </c>
      <c r="G1221" s="10" t="str">
        <f>"protein_coding"</f>
        <v>protein_coding</v>
      </c>
      <c r="J1221" s="14"/>
    </row>
    <row r="1222" spans="1:10" x14ac:dyDescent="0.2">
      <c r="A1222" s="10" t="str">
        <f>"ENSG00000198807.12"</f>
        <v>ENSG00000198807.12</v>
      </c>
      <c r="B1222" s="10">
        <v>-1.62974298582619</v>
      </c>
      <c r="C1222" s="10">
        <v>-0.68791704238586204</v>
      </c>
      <c r="D1222" s="10">
        <v>6.8661835105086197</v>
      </c>
      <c r="E1222" s="10">
        <v>3.0317250395124899E-2</v>
      </c>
      <c r="F1222" s="10" t="str">
        <f>"PAX9"</f>
        <v>PAX9</v>
      </c>
      <c r="G1222" s="10" t="str">
        <f>"protein_coding"</f>
        <v>protein_coding</v>
      </c>
      <c r="J1222" s="14"/>
    </row>
    <row r="1223" spans="1:10" x14ac:dyDescent="0.2">
      <c r="A1223" s="10" t="str">
        <f>"ENSG00000258700.5"</f>
        <v>ENSG00000258700.5</v>
      </c>
      <c r="B1223" s="10">
        <v>2.85424580587076</v>
      </c>
      <c r="C1223" s="10">
        <v>-1.31714255470775</v>
      </c>
      <c r="D1223" s="10">
        <v>7.5524445874565398</v>
      </c>
      <c r="E1223" s="10">
        <v>2.4840182677690399E-2</v>
      </c>
      <c r="F1223" s="10" t="str">
        <f>"LINC00871"</f>
        <v>LINC00871</v>
      </c>
      <c r="G1223" s="10" t="str">
        <f>"lincRNA"</f>
        <v>lincRNA</v>
      </c>
      <c r="J1223" s="14"/>
    </row>
    <row r="1224" spans="1:10" x14ac:dyDescent="0.2">
      <c r="A1224" s="10" t="str">
        <f>"ENSG00000278771.1"</f>
        <v>ENSG00000278771.1</v>
      </c>
      <c r="B1224" s="10">
        <v>2.0564321482221799</v>
      </c>
      <c r="C1224" s="10">
        <v>1.7865577675943201</v>
      </c>
      <c r="D1224" s="10">
        <v>6.6793246417398198</v>
      </c>
      <c r="E1224" s="10">
        <v>3.2067181112184803E-2</v>
      </c>
      <c r="F1224" s="10" t="str">
        <f>"RN7SL3"</f>
        <v>RN7SL3</v>
      </c>
      <c r="G1224" s="10" t="str">
        <f>"misc_RNA"</f>
        <v>misc_RNA</v>
      </c>
      <c r="J1224" s="14"/>
    </row>
    <row r="1225" spans="1:10" x14ac:dyDescent="0.2">
      <c r="A1225" s="10" t="str">
        <f>"ENSG00000274012.1"</f>
        <v>ENSG00000274012.1</v>
      </c>
      <c r="B1225" s="10">
        <v>1.99882146988722</v>
      </c>
      <c r="C1225" s="10">
        <v>6.3206304684301999</v>
      </c>
      <c r="D1225" s="10">
        <v>5.5729163833107798</v>
      </c>
      <c r="E1225" s="10">
        <v>4.55352167731247E-2</v>
      </c>
      <c r="F1225" s="10" t="str">
        <f>"RN7SL2"</f>
        <v>RN7SL2</v>
      </c>
      <c r="G1225" s="10" t="str">
        <f>"misc_RNA"</f>
        <v>misc_RNA</v>
      </c>
      <c r="J1225" s="14"/>
    </row>
    <row r="1226" spans="1:10" x14ac:dyDescent="0.2">
      <c r="A1226" s="10" t="str">
        <f>"ENSG00000131981.16"</f>
        <v>ENSG00000131981.16</v>
      </c>
      <c r="B1226" s="10">
        <v>1.02668255356886</v>
      </c>
      <c r="C1226" s="10">
        <v>6.58104029255722</v>
      </c>
      <c r="D1226" s="10">
        <v>23.7519047632445</v>
      </c>
      <c r="E1226" s="10">
        <v>1.1692043935814E-3</v>
      </c>
      <c r="F1226" s="10" t="str">
        <f>"LGALS3"</f>
        <v>LGALS3</v>
      </c>
      <c r="G1226" s="10" t="str">
        <f>"protein_coding"</f>
        <v>protein_coding</v>
      </c>
      <c r="J1226" s="14"/>
    </row>
    <row r="1227" spans="1:10" x14ac:dyDescent="0.2">
      <c r="A1227" s="10" t="str">
        <f>"ENSG00000258592.1"</f>
        <v>ENSG00000258592.1</v>
      </c>
      <c r="B1227" s="10">
        <v>-1.1534675621708299</v>
      </c>
      <c r="C1227" s="10">
        <v>-0.239338608377723</v>
      </c>
      <c r="D1227" s="10">
        <v>6.7465369965172703</v>
      </c>
      <c r="E1227" s="10">
        <v>3.1359726198101998E-2</v>
      </c>
      <c r="F1227" s="10" t="str">
        <f>"AL391152.1"</f>
        <v>AL391152.1</v>
      </c>
      <c r="G1227" s="10" t="str">
        <f>"lincRNA"</f>
        <v>lincRNA</v>
      </c>
      <c r="J1227" s="14"/>
    </row>
    <row r="1228" spans="1:10" x14ac:dyDescent="0.2">
      <c r="A1228" s="10" t="str">
        <f>"ENSG00000261120.1"</f>
        <v>ENSG00000261120.1</v>
      </c>
      <c r="B1228" s="10">
        <v>-2.5391537534000901</v>
      </c>
      <c r="C1228" s="10">
        <v>-0.92339008911393305</v>
      </c>
      <c r="D1228" s="10">
        <v>20.217481529031701</v>
      </c>
      <c r="E1228" s="10">
        <v>1.8695578365548399E-3</v>
      </c>
      <c r="F1228" s="10" t="str">
        <f>"AL133299.1"</f>
        <v>AL133299.1</v>
      </c>
      <c r="G1228" s="10" t="str">
        <f>"antisense"</f>
        <v>antisense</v>
      </c>
      <c r="J1228" s="14"/>
    </row>
    <row r="1229" spans="1:10" x14ac:dyDescent="0.2">
      <c r="A1229" s="10" t="str">
        <f>"ENSG00000139974.15"</f>
        <v>ENSG00000139974.15</v>
      </c>
      <c r="B1229" s="10">
        <v>1.1295666417477499</v>
      </c>
      <c r="C1229" s="10">
        <v>3.2778607149621601</v>
      </c>
      <c r="D1229" s="10">
        <v>25.157580483645098</v>
      </c>
      <c r="E1229" s="10">
        <v>9.4552130762652598E-4</v>
      </c>
      <c r="F1229" s="10" t="str">
        <f>"SLC38A6"</f>
        <v>SLC38A6</v>
      </c>
      <c r="G1229" s="10" t="str">
        <f>"protein_coding"</f>
        <v>protein_coding</v>
      </c>
      <c r="J1229" s="14"/>
    </row>
    <row r="1230" spans="1:10" x14ac:dyDescent="0.2">
      <c r="A1230" s="10" t="str">
        <f>"ENSG00000232774.7"</f>
        <v>ENSG00000232774.7</v>
      </c>
      <c r="B1230" s="10">
        <v>-1.85508110852393</v>
      </c>
      <c r="C1230" s="10">
        <v>2.0868658238534401</v>
      </c>
      <c r="D1230" s="10">
        <v>19.011726628300899</v>
      </c>
      <c r="E1230" s="10">
        <v>2.3420837311180802E-3</v>
      </c>
      <c r="F1230" s="10" t="str">
        <f>"AL355916.1"</f>
        <v>AL355916.1</v>
      </c>
      <c r="G1230" s="10" t="str">
        <f>"lincRNA"</f>
        <v>lincRNA</v>
      </c>
      <c r="J1230" s="14"/>
    </row>
    <row r="1231" spans="1:10" x14ac:dyDescent="0.2">
      <c r="A1231" s="10" t="str">
        <f>"ENSG00000139988.9"</f>
        <v>ENSG00000139988.9</v>
      </c>
      <c r="B1231" s="10">
        <v>1.87691456769788</v>
      </c>
      <c r="C1231" s="10">
        <v>-0.26651154929305099</v>
      </c>
      <c r="D1231" s="10">
        <v>12.9653878909706</v>
      </c>
      <c r="E1231" s="10">
        <v>6.8328399566773296E-3</v>
      </c>
      <c r="F1231" s="10" t="str">
        <f>"RDH12"</f>
        <v>RDH12</v>
      </c>
      <c r="G1231" s="10" t="str">
        <f>"protein_coding"</f>
        <v>protein_coding</v>
      </c>
      <c r="J1231" s="14"/>
    </row>
    <row r="1232" spans="1:10" x14ac:dyDescent="0.2">
      <c r="A1232" s="10" t="str">
        <f>"ENSG00000198732.10"</f>
        <v>ENSG00000198732.10</v>
      </c>
      <c r="B1232" s="10">
        <v>1.0115022838379</v>
      </c>
      <c r="C1232" s="10">
        <v>3.3044673422222099</v>
      </c>
      <c r="D1232" s="10">
        <v>8.9415881250316396</v>
      </c>
      <c r="E1232" s="10">
        <v>1.7086871054177499E-2</v>
      </c>
      <c r="F1232" s="10" t="str">
        <f>"SMOC1"</f>
        <v>SMOC1</v>
      </c>
      <c r="G1232" s="10" t="str">
        <f>"protein_coding"</f>
        <v>protein_coding</v>
      </c>
      <c r="J1232" s="14"/>
    </row>
    <row r="1233" spans="1:10" x14ac:dyDescent="0.2">
      <c r="A1233" s="10" t="str">
        <f>"ENSG00000133985.3"</f>
        <v>ENSG00000133985.3</v>
      </c>
      <c r="B1233" s="10">
        <v>1.3922574132947101</v>
      </c>
      <c r="C1233" s="10">
        <v>2.0425173677894799</v>
      </c>
      <c r="D1233" s="10">
        <v>10.9714850095176</v>
      </c>
      <c r="E1233" s="10">
        <v>1.04777457237866E-2</v>
      </c>
      <c r="F1233" s="10" t="str">
        <f>"TTC9"</f>
        <v>TTC9</v>
      </c>
      <c r="G1233" s="10" t="str">
        <f>"protein_coding"</f>
        <v>protein_coding</v>
      </c>
      <c r="J1233" s="14"/>
    </row>
    <row r="1234" spans="1:10" x14ac:dyDescent="0.2">
      <c r="A1234" s="10" t="str">
        <f>"ENSG00000258813.2"</f>
        <v>ENSG00000258813.2</v>
      </c>
      <c r="B1234" s="10">
        <v>-1.6521827968064899</v>
      </c>
      <c r="C1234" s="10">
        <v>-1.3344708041949001</v>
      </c>
      <c r="D1234" s="10">
        <v>5.9650271309545699</v>
      </c>
      <c r="E1234" s="10">
        <v>4.0061275199322503E-2</v>
      </c>
      <c r="F1234" s="10" t="str">
        <f>"AL442663.3"</f>
        <v>AL442663.3</v>
      </c>
      <c r="G1234" s="10" t="str">
        <f>"antisense"</f>
        <v>antisense</v>
      </c>
      <c r="J1234" s="14"/>
    </row>
    <row r="1235" spans="1:10" x14ac:dyDescent="0.2">
      <c r="A1235" s="10" t="str">
        <f>"ENSG00000251393.3"</f>
        <v>ENSG00000251393.3</v>
      </c>
      <c r="B1235" s="10">
        <v>2.4318716249485299</v>
      </c>
      <c r="C1235" s="10">
        <v>-1.00022419476512</v>
      </c>
      <c r="D1235" s="10">
        <v>16.447762055800801</v>
      </c>
      <c r="E1235" s="10">
        <v>3.5339070874181801E-3</v>
      </c>
      <c r="F1235" s="10" t="str">
        <f>"AC005280.1"</f>
        <v>AC005280.1</v>
      </c>
      <c r="G1235" s="10" t="str">
        <f>"processed_transcript"</f>
        <v>processed_transcript</v>
      </c>
      <c r="J1235" s="14"/>
    </row>
    <row r="1236" spans="1:10" x14ac:dyDescent="0.2">
      <c r="A1236" s="10" t="str">
        <f>"ENSG00000187097.12"</f>
        <v>ENSG00000187097.12</v>
      </c>
      <c r="B1236" s="10">
        <v>1.2796667658068099</v>
      </c>
      <c r="C1236" s="10">
        <v>6.23160105616265</v>
      </c>
      <c r="D1236" s="10">
        <v>14.9882714871188</v>
      </c>
      <c r="E1236" s="10">
        <v>4.6209649696269299E-3</v>
      </c>
      <c r="F1236" s="10" t="str">
        <f>"ENTPD5"</f>
        <v>ENTPD5</v>
      </c>
      <c r="G1236" s="10" t="str">
        <f>"protein_coding"</f>
        <v>protein_coding</v>
      </c>
      <c r="J1236" s="14"/>
    </row>
    <row r="1237" spans="1:10" x14ac:dyDescent="0.2">
      <c r="A1237" s="10" t="str">
        <f>"ENSG00000119630.14"</f>
        <v>ENSG00000119630.14</v>
      </c>
      <c r="B1237" s="10">
        <v>-1.6585740869279999</v>
      </c>
      <c r="C1237" s="10">
        <v>6.4849572861743097</v>
      </c>
      <c r="D1237" s="10">
        <v>22.058662826702399</v>
      </c>
      <c r="E1237" s="10">
        <v>1.49736661543877E-3</v>
      </c>
      <c r="F1237" s="10" t="str">
        <f>"PGF"</f>
        <v>PGF</v>
      </c>
      <c r="G1237" s="10" t="str">
        <f>"protein_coding"</f>
        <v>protein_coding</v>
      </c>
      <c r="J1237" s="14"/>
    </row>
    <row r="1238" spans="1:10" x14ac:dyDescent="0.2">
      <c r="A1238" s="10" t="str">
        <f>"ENSG00000259319.1"</f>
        <v>ENSG00000259319.1</v>
      </c>
      <c r="B1238" s="10">
        <v>-1.1743124707937</v>
      </c>
      <c r="C1238" s="10">
        <v>-1.4334637670384001E-2</v>
      </c>
      <c r="D1238" s="10">
        <v>6.2132893665775599</v>
      </c>
      <c r="E1238" s="10">
        <v>3.7023137023736802E-2</v>
      </c>
      <c r="F1238" s="10" t="str">
        <f>"AF111167.2"</f>
        <v>AF111167.2</v>
      </c>
      <c r="G1238" s="10" t="str">
        <f>"antisense"</f>
        <v>antisense</v>
      </c>
      <c r="J1238" s="14"/>
    </row>
    <row r="1239" spans="1:10" x14ac:dyDescent="0.2">
      <c r="A1239" s="10" t="str">
        <f>"ENSG00000156127.6"</f>
        <v>ENSG00000156127.6</v>
      </c>
      <c r="B1239" s="10">
        <v>1.49347577573343</v>
      </c>
      <c r="C1239" s="10">
        <v>1.9713134013135001</v>
      </c>
      <c r="D1239" s="10">
        <v>24.0371923188114</v>
      </c>
      <c r="E1239" s="10">
        <v>1.1261706707942701E-3</v>
      </c>
      <c r="F1239" s="10" t="str">
        <f>"BATF"</f>
        <v>BATF</v>
      </c>
      <c r="G1239" s="10" t="str">
        <f>"protein_coding"</f>
        <v>protein_coding</v>
      </c>
      <c r="J1239" s="14"/>
    </row>
    <row r="1240" spans="1:10" x14ac:dyDescent="0.2">
      <c r="A1240" s="10" t="str">
        <f>"ENSG00000266553.2"</f>
        <v>ENSG00000266553.2</v>
      </c>
      <c r="B1240" s="10">
        <v>-1.1259417554437401</v>
      </c>
      <c r="C1240" s="10">
        <v>0.227257650360147</v>
      </c>
      <c r="D1240" s="10">
        <v>8.7222854331055792</v>
      </c>
      <c r="E1240" s="10">
        <v>1.78291813980796E-2</v>
      </c>
      <c r="F1240" s="10" t="str">
        <f>"RN7SL356P"</f>
        <v>RN7SL356P</v>
      </c>
      <c r="G1240" s="10" t="str">
        <f>"misc_RNA"</f>
        <v>misc_RNA</v>
      </c>
      <c r="J1240" s="14"/>
    </row>
    <row r="1241" spans="1:10" x14ac:dyDescent="0.2">
      <c r="A1241" s="10" t="str">
        <f>"ENSG00000177108.5"</f>
        <v>ENSG00000177108.5</v>
      </c>
      <c r="B1241" s="10">
        <v>-1.69078354631668</v>
      </c>
      <c r="C1241" s="10">
        <v>0.104996791122919</v>
      </c>
      <c r="D1241" s="10">
        <v>6.4977788632299998</v>
      </c>
      <c r="E1241" s="10">
        <v>3.3891513191721401E-2</v>
      </c>
      <c r="F1241" s="10" t="str">
        <f>"ZDHHC22"</f>
        <v>ZDHHC22</v>
      </c>
      <c r="G1241" s="10" t="str">
        <f>"protein_coding"</f>
        <v>protein_coding</v>
      </c>
      <c r="J1241" s="14"/>
    </row>
    <row r="1242" spans="1:10" x14ac:dyDescent="0.2">
      <c r="A1242" s="10" t="str">
        <f>"ENSG00000100593.18"</f>
        <v>ENSG00000100593.18</v>
      </c>
      <c r="B1242" s="10">
        <v>1.9769505604639099</v>
      </c>
      <c r="C1242" s="10">
        <v>4.8339247274346597</v>
      </c>
      <c r="D1242" s="10">
        <v>32.181799098397903</v>
      </c>
      <c r="E1242" s="10">
        <v>4.4829339415079902E-4</v>
      </c>
      <c r="F1242" s="10" t="str">
        <f>"ISM2"</f>
        <v>ISM2</v>
      </c>
      <c r="G1242" s="10" t="str">
        <f>"protein_coding"</f>
        <v>protein_coding</v>
      </c>
      <c r="J1242" s="14"/>
    </row>
    <row r="1243" spans="1:10" x14ac:dyDescent="0.2">
      <c r="A1243" s="10" t="str">
        <f>"ENSG00000185070.11"</f>
        <v>ENSG00000185070.11</v>
      </c>
      <c r="B1243" s="10">
        <v>-1.18317356508488</v>
      </c>
      <c r="C1243" s="10">
        <v>6.3353846330993404</v>
      </c>
      <c r="D1243" s="10">
        <v>11.323474017783701</v>
      </c>
      <c r="E1243" s="10">
        <v>9.6826283343650101E-3</v>
      </c>
      <c r="F1243" s="10" t="str">
        <f>"FLRT2"</f>
        <v>FLRT2</v>
      </c>
      <c r="G1243" s="10" t="str">
        <f>"protein_coding"</f>
        <v>protein_coding</v>
      </c>
      <c r="J1243" s="14"/>
    </row>
    <row r="1244" spans="1:10" x14ac:dyDescent="0.2">
      <c r="A1244" s="10" t="str">
        <f>"ENSG00000258867.5"</f>
        <v>ENSG00000258867.5</v>
      </c>
      <c r="B1244" s="10">
        <v>1.9636258585791799</v>
      </c>
      <c r="C1244" s="10">
        <v>3.9479088020523601</v>
      </c>
      <c r="D1244" s="10">
        <v>11.1492380462221</v>
      </c>
      <c r="E1244" s="10">
        <v>1.00663801268213E-2</v>
      </c>
      <c r="F1244" s="10" t="str">
        <f>"LINC01146"</f>
        <v>LINC01146</v>
      </c>
      <c r="G1244" s="10" t="str">
        <f>"lincRNA"</f>
        <v>lincRNA</v>
      </c>
      <c r="J1244" s="14"/>
    </row>
    <row r="1245" spans="1:10" x14ac:dyDescent="0.2">
      <c r="A1245" s="10" t="str">
        <f>"ENSG00000100433.15"</f>
        <v>ENSG00000100433.15</v>
      </c>
      <c r="B1245" s="10">
        <v>-1.8889657405137199</v>
      </c>
      <c r="C1245" s="10">
        <v>0.38769762829601601</v>
      </c>
      <c r="D1245" s="10">
        <v>5.5018015523972101</v>
      </c>
      <c r="E1245" s="10">
        <v>4.6627816723950499E-2</v>
      </c>
      <c r="F1245" s="10" t="str">
        <f>"KCNK10"</f>
        <v>KCNK10</v>
      </c>
      <c r="G1245" s="10" t="str">
        <f t="shared" ref="G1245:G1252" si="45">"protein_coding"</f>
        <v>protein_coding</v>
      </c>
      <c r="J1245" s="14"/>
    </row>
    <row r="1246" spans="1:10" x14ac:dyDescent="0.2">
      <c r="A1246" s="10" t="str">
        <f>"ENSG00000165929.13"</f>
        <v>ENSG00000165929.13</v>
      </c>
      <c r="B1246" s="10">
        <v>-1.4591514362806</v>
      </c>
      <c r="C1246" s="10">
        <v>-0.87327287575360601</v>
      </c>
      <c r="D1246" s="10">
        <v>8.2980605673066794</v>
      </c>
      <c r="E1246" s="10">
        <v>1.9878206480019801E-2</v>
      </c>
      <c r="F1246" s="10" t="str">
        <f>"TC2N"</f>
        <v>TC2N</v>
      </c>
      <c r="G1246" s="10" t="str">
        <f t="shared" si="45"/>
        <v>protein_coding</v>
      </c>
      <c r="J1246" s="14"/>
    </row>
    <row r="1247" spans="1:10" x14ac:dyDescent="0.2">
      <c r="A1247" s="10" t="str">
        <f>"ENSG00000140090.17"</f>
        <v>ENSG00000140090.17</v>
      </c>
      <c r="B1247" s="10">
        <v>-1.1708221935699801</v>
      </c>
      <c r="C1247" s="10">
        <v>0.35810712055836802</v>
      </c>
      <c r="D1247" s="10">
        <v>6.5296169724370099</v>
      </c>
      <c r="E1247" s="10">
        <v>3.3562254775387698E-2</v>
      </c>
      <c r="F1247" s="10" t="str">
        <f>"SLC24A4"</f>
        <v>SLC24A4</v>
      </c>
      <c r="G1247" s="10" t="str">
        <f t="shared" si="45"/>
        <v>protein_coding</v>
      </c>
      <c r="J1247" s="14"/>
    </row>
    <row r="1248" spans="1:10" x14ac:dyDescent="0.2">
      <c r="A1248" s="10" t="str">
        <f>"ENSG00000175785.13"</f>
        <v>ENSG00000175785.13</v>
      </c>
      <c r="B1248" s="10">
        <v>-1.78742075733836</v>
      </c>
      <c r="C1248" s="10">
        <v>1.5084964013942801</v>
      </c>
      <c r="D1248" s="10">
        <v>17.9921903205069</v>
      </c>
      <c r="E1248" s="10">
        <v>2.7527889752696402E-3</v>
      </c>
      <c r="F1248" s="10" t="str">
        <f>"PRIMA1"</f>
        <v>PRIMA1</v>
      </c>
      <c r="G1248" s="10" t="str">
        <f t="shared" si="45"/>
        <v>protein_coding</v>
      </c>
      <c r="J1248" s="14"/>
    </row>
    <row r="1249" spans="1:10" x14ac:dyDescent="0.2">
      <c r="A1249" s="10" t="str">
        <f>"ENSG00000140093.10"</f>
        <v>ENSG00000140093.10</v>
      </c>
      <c r="B1249" s="10">
        <v>1.11187440017146</v>
      </c>
      <c r="C1249" s="10">
        <v>4.1199862898532196</v>
      </c>
      <c r="D1249" s="10">
        <v>9.2945509548598295</v>
      </c>
      <c r="E1249" s="10">
        <v>1.5623025784589101E-2</v>
      </c>
      <c r="F1249" s="10" t="str">
        <f>"SERPINA10"</f>
        <v>SERPINA10</v>
      </c>
      <c r="G1249" s="10" t="str">
        <f t="shared" si="45"/>
        <v>protein_coding</v>
      </c>
      <c r="J1249" s="14"/>
    </row>
    <row r="1250" spans="1:10" x14ac:dyDescent="0.2">
      <c r="A1250" s="10" t="str">
        <f>"ENSG00000186910.4"</f>
        <v>ENSG00000186910.4</v>
      </c>
      <c r="B1250" s="10">
        <v>2.4764176411696202</v>
      </c>
      <c r="C1250" s="10">
        <v>6.1235597439520504</v>
      </c>
      <c r="D1250" s="10">
        <v>6.8289462492809596</v>
      </c>
      <c r="E1250" s="10">
        <v>3.06561557382403E-2</v>
      </c>
      <c r="F1250" s="10" t="str">
        <f>"SERPINA11"</f>
        <v>SERPINA11</v>
      </c>
      <c r="G1250" s="10" t="str">
        <f t="shared" si="45"/>
        <v>protein_coding</v>
      </c>
      <c r="J1250" s="14"/>
    </row>
    <row r="1251" spans="1:10" x14ac:dyDescent="0.2">
      <c r="A1251" s="10" t="str">
        <f>"ENSG00000165953.9"</f>
        <v>ENSG00000165953.9</v>
      </c>
      <c r="B1251" s="10">
        <v>2.2102254136531001</v>
      </c>
      <c r="C1251" s="10">
        <v>1.69693143438159</v>
      </c>
      <c r="D1251" s="10">
        <v>11.2678546666138</v>
      </c>
      <c r="E1251" s="10">
        <v>9.8031034581781192E-3</v>
      </c>
      <c r="F1251" s="10" t="str">
        <f>"SERPINA12"</f>
        <v>SERPINA12</v>
      </c>
      <c r="G1251" s="10" t="str">
        <f t="shared" si="45"/>
        <v>protein_coding</v>
      </c>
      <c r="J1251" s="14"/>
    </row>
    <row r="1252" spans="1:10" x14ac:dyDescent="0.2">
      <c r="A1252" s="10" t="str">
        <f>"ENSG00000036530.8"</f>
        <v>ENSG00000036530.8</v>
      </c>
      <c r="B1252" s="10">
        <v>-1.6460154412430801</v>
      </c>
      <c r="C1252" s="10">
        <v>-1.3357016683116401</v>
      </c>
      <c r="D1252" s="10">
        <v>8.1973985374325604</v>
      </c>
      <c r="E1252" s="10">
        <v>2.0428853810265199E-2</v>
      </c>
      <c r="F1252" s="10" t="str">
        <f>"CYP46A1"</f>
        <v>CYP46A1</v>
      </c>
      <c r="G1252" s="10" t="str">
        <f t="shared" si="45"/>
        <v>protein_coding</v>
      </c>
      <c r="J1252" s="14"/>
    </row>
    <row r="1253" spans="1:10" x14ac:dyDescent="0.2">
      <c r="A1253" s="10" t="str">
        <f>"ENSG00000258982.1"</f>
        <v>ENSG00000258982.1</v>
      </c>
      <c r="B1253" s="10">
        <v>-1.59542459560966</v>
      </c>
      <c r="C1253" s="10">
        <v>-0.67434448540949199</v>
      </c>
      <c r="D1253" s="10">
        <v>13.7787355108327</v>
      </c>
      <c r="E1253" s="10">
        <v>5.6410751077940399E-3</v>
      </c>
      <c r="F1253" s="10" t="str">
        <f>"AL133523.1"</f>
        <v>AL133523.1</v>
      </c>
      <c r="G1253" s="10" t="str">
        <f>"antisense"</f>
        <v>antisense</v>
      </c>
      <c r="J1253" s="14"/>
    </row>
    <row r="1254" spans="1:10" x14ac:dyDescent="0.2">
      <c r="A1254" s="10" t="str">
        <f>"ENSG00000183092.16"</f>
        <v>ENSG00000183092.16</v>
      </c>
      <c r="B1254" s="10">
        <v>-1.948241208205</v>
      </c>
      <c r="C1254" s="10">
        <v>-0.47239682291294999</v>
      </c>
      <c r="D1254" s="10">
        <v>12.9430789827076</v>
      </c>
      <c r="E1254" s="10">
        <v>6.8639044226084496E-3</v>
      </c>
      <c r="F1254" s="10" t="str">
        <f>"BEGAIN"</f>
        <v>BEGAIN</v>
      </c>
      <c r="G1254" s="10" t="str">
        <f>"protein_coding"</f>
        <v>protein_coding</v>
      </c>
      <c r="J1254" s="14"/>
    </row>
    <row r="1255" spans="1:10" x14ac:dyDescent="0.2">
      <c r="A1255" s="10" t="str">
        <f>"ENSG00000258460.1"</f>
        <v>ENSG00000258460.1</v>
      </c>
      <c r="B1255" s="10">
        <v>1.5853703339501499</v>
      </c>
      <c r="C1255" s="10">
        <v>0.13297157198281101</v>
      </c>
      <c r="D1255" s="10">
        <v>15.184430472704699</v>
      </c>
      <c r="E1255" s="10">
        <v>4.4027180649965202E-3</v>
      </c>
      <c r="F1255" s="10" t="str">
        <f>"AL355096.1"</f>
        <v>AL355096.1</v>
      </c>
      <c r="G1255" s="10" t="str">
        <f>"lincRNA"</f>
        <v>lincRNA</v>
      </c>
      <c r="J1255" s="14"/>
    </row>
    <row r="1256" spans="1:10" x14ac:dyDescent="0.2">
      <c r="A1256" s="10" t="str">
        <f>"ENSG00000258919.1"</f>
        <v>ENSG00000258919.1</v>
      </c>
      <c r="B1256" s="10">
        <v>1.6322265436080901</v>
      </c>
      <c r="C1256" s="10">
        <v>-1.2220647908247599</v>
      </c>
      <c r="D1256" s="10">
        <v>9.3426928380409198</v>
      </c>
      <c r="E1256" s="10">
        <v>1.51310449182149E-2</v>
      </c>
      <c r="F1256" s="10" t="str">
        <f>"AL049836.1"</f>
        <v>AL049836.1</v>
      </c>
      <c r="G1256" s="10" t="str">
        <f>"lincRNA"</f>
        <v>lincRNA</v>
      </c>
      <c r="J1256" s="14"/>
    </row>
    <row r="1257" spans="1:10" x14ac:dyDescent="0.2">
      <c r="A1257" s="10" t="str">
        <f>"ENSG00000259088.1"</f>
        <v>ENSG00000259088.1</v>
      </c>
      <c r="B1257" s="10">
        <v>1.99290436480052</v>
      </c>
      <c r="C1257" s="10">
        <v>-1.14259851742306</v>
      </c>
      <c r="D1257" s="10">
        <v>10.703468475329201</v>
      </c>
      <c r="E1257" s="10">
        <v>1.1065472788707601E-2</v>
      </c>
      <c r="F1257" s="10" t="str">
        <f>"AL137779.2"</f>
        <v>AL137779.2</v>
      </c>
      <c r="G1257" s="10" t="str">
        <f>"antisense"</f>
        <v>antisense</v>
      </c>
      <c r="J1257" s="14"/>
    </row>
    <row r="1258" spans="1:10" x14ac:dyDescent="0.2">
      <c r="A1258" s="10" t="str">
        <f>"ENSG00000166165.13"</f>
        <v>ENSG00000166165.13</v>
      </c>
      <c r="B1258" s="10">
        <v>-1.17659410418295</v>
      </c>
      <c r="C1258" s="10">
        <v>6.5569514018728503</v>
      </c>
      <c r="D1258" s="10">
        <v>30.0583990114052</v>
      </c>
      <c r="E1258" s="10">
        <v>5.5499178527696304E-4</v>
      </c>
      <c r="F1258" s="10" t="str">
        <f>"CKB"</f>
        <v>CKB</v>
      </c>
      <c r="G1258" s="10" t="str">
        <f>"protein_coding"</f>
        <v>protein_coding</v>
      </c>
      <c r="J1258" s="14"/>
    </row>
    <row r="1259" spans="1:10" x14ac:dyDescent="0.2">
      <c r="A1259" s="10" t="str">
        <f>"ENSG00000185567.7"</f>
        <v>ENSG00000185567.7</v>
      </c>
      <c r="B1259" s="10">
        <v>-2.83533576236022</v>
      </c>
      <c r="C1259" s="10">
        <v>4.7503707995984801</v>
      </c>
      <c r="D1259" s="10">
        <v>12.6111469903189</v>
      </c>
      <c r="E1259" s="10">
        <v>7.3477149775608803E-3</v>
      </c>
      <c r="F1259" s="10" t="str">
        <f>"AHNAK2"</f>
        <v>AHNAK2</v>
      </c>
      <c r="G1259" s="10" t="str">
        <f>"protein_coding"</f>
        <v>protein_coding</v>
      </c>
      <c r="J1259" s="14"/>
    </row>
    <row r="1260" spans="1:10" x14ac:dyDescent="0.2">
      <c r="A1260" s="10" t="str">
        <f>"ENSG00000184916.9"</f>
        <v>ENSG00000184916.9</v>
      </c>
      <c r="B1260" s="10">
        <v>-1.77521559061108</v>
      </c>
      <c r="C1260" s="10">
        <v>1.95942096053216</v>
      </c>
      <c r="D1260" s="10">
        <v>6.0249535695801404</v>
      </c>
      <c r="E1260" s="10">
        <v>3.9299811516688397E-2</v>
      </c>
      <c r="F1260" s="10" t="str">
        <f>"JAG2"</f>
        <v>JAG2</v>
      </c>
      <c r="G1260" s="10" t="str">
        <f>"protein_coding"</f>
        <v>protein_coding</v>
      </c>
      <c r="J1260" s="14"/>
    </row>
    <row r="1261" spans="1:10" x14ac:dyDescent="0.2">
      <c r="A1261" s="10" t="str">
        <f>"ENSG00000213145.9"</f>
        <v>ENSG00000213145.9</v>
      </c>
      <c r="B1261" s="10">
        <v>-1.2166063216479599</v>
      </c>
      <c r="C1261" s="10">
        <v>-0.54401038611214003</v>
      </c>
      <c r="D1261" s="10">
        <v>5.5652473903949398</v>
      </c>
      <c r="E1261" s="10">
        <v>4.5651465380702499E-2</v>
      </c>
      <c r="F1261" s="10" t="str">
        <f>"CRIP1"</f>
        <v>CRIP1</v>
      </c>
      <c r="G1261" s="10" t="str">
        <f>"protein_coding"</f>
        <v>protein_coding</v>
      </c>
      <c r="J1261" s="14"/>
    </row>
    <row r="1262" spans="1:10" x14ac:dyDescent="0.2">
      <c r="A1262" s="10" t="str">
        <f>"ENSG00000259098.1"</f>
        <v>ENSG00000259098.1</v>
      </c>
      <c r="B1262" s="10">
        <v>-1.34068589969632</v>
      </c>
      <c r="C1262" s="10">
        <v>-1.1314477002613801</v>
      </c>
      <c r="D1262" s="10">
        <v>5.2944779812225002</v>
      </c>
      <c r="E1262" s="10">
        <v>4.9801494644638199E-2</v>
      </c>
      <c r="F1262" s="10" t="str">
        <f>"AC025884.2"</f>
        <v>AC025884.2</v>
      </c>
      <c r="G1262" s="10" t="str">
        <f>"processed_pseudogene"</f>
        <v>processed_pseudogene</v>
      </c>
      <c r="J1262" s="14"/>
    </row>
    <row r="1263" spans="1:10" x14ac:dyDescent="0.2">
      <c r="A1263" s="10" t="str">
        <f>"ENSG00000276141.4"</f>
        <v>ENSG00000276141.4</v>
      </c>
      <c r="B1263" s="10">
        <v>1.4720806444129499</v>
      </c>
      <c r="C1263" s="10">
        <v>2.0455164127512502</v>
      </c>
      <c r="D1263" s="10">
        <v>6.14528818418749</v>
      </c>
      <c r="E1263" s="10">
        <v>3.7825380032671399E-2</v>
      </c>
      <c r="F1263" s="10" t="str">
        <f>"WHAMMP3"</f>
        <v>WHAMMP3</v>
      </c>
      <c r="G1263" s="10" t="str">
        <f>"transcribed_unprocessed_pseudogene"</f>
        <v>transcribed_unprocessed_pseudogene</v>
      </c>
      <c r="J1263" s="14"/>
    </row>
    <row r="1264" spans="1:10" x14ac:dyDescent="0.2">
      <c r="A1264" s="10" t="str">
        <f>"ENSG00000207442.1"</f>
        <v>ENSG00000207442.1</v>
      </c>
      <c r="B1264" s="10">
        <v>2.3111473819728801</v>
      </c>
      <c r="C1264" s="10">
        <v>-1.64561470496087</v>
      </c>
      <c r="D1264" s="10">
        <v>8.8016095617831596</v>
      </c>
      <c r="E1264" s="10">
        <v>1.77149806349036E-2</v>
      </c>
      <c r="F1264" s="10" t="str">
        <f>"SNORD116-6"</f>
        <v>SNORD116-6</v>
      </c>
      <c r="G1264" s="10" t="str">
        <f>"snoRNA"</f>
        <v>snoRNA</v>
      </c>
      <c r="J1264" s="14"/>
    </row>
    <row r="1265" spans="1:10" x14ac:dyDescent="0.2">
      <c r="A1265" s="10" t="str">
        <f>"ENSG00000248334.6"</f>
        <v>ENSG00000248334.6</v>
      </c>
      <c r="B1265" s="10">
        <v>1.65712396236753</v>
      </c>
      <c r="C1265" s="10">
        <v>1.07528799945943</v>
      </c>
      <c r="D1265" s="10">
        <v>6.3420590135288402</v>
      </c>
      <c r="E1265" s="10">
        <v>3.5562151167553402E-2</v>
      </c>
      <c r="F1265" s="10" t="str">
        <f>"WHAMMP2"</f>
        <v>WHAMMP2</v>
      </c>
      <c r="G1265" s="10" t="str">
        <f>"transcribed_unprocessed_pseudogene"</f>
        <v>transcribed_unprocessed_pseudogene</v>
      </c>
      <c r="J1265" s="14"/>
    </row>
    <row r="1266" spans="1:10" x14ac:dyDescent="0.2">
      <c r="A1266" s="10" t="str">
        <f>"ENSG00000262728.5"</f>
        <v>ENSG00000262728.5</v>
      </c>
      <c r="B1266" s="10">
        <v>1.70643461212666</v>
      </c>
      <c r="C1266" s="10">
        <v>-1.5981025004979501</v>
      </c>
      <c r="D1266" s="10">
        <v>6.3096870277530597</v>
      </c>
      <c r="E1266" s="10">
        <v>3.5480387577856203E-2</v>
      </c>
      <c r="F1266" s="10" t="str">
        <f>"AC123768.3"</f>
        <v>AC123768.3</v>
      </c>
      <c r="G1266" s="10" t="str">
        <f>"antisense"</f>
        <v>antisense</v>
      </c>
      <c r="J1266" s="14"/>
    </row>
    <row r="1267" spans="1:10" x14ac:dyDescent="0.2">
      <c r="A1267" s="10" t="str">
        <f>"ENSG00000166923.11"</f>
        <v>ENSG00000166923.11</v>
      </c>
      <c r="B1267" s="10">
        <v>-2.5954891668929401</v>
      </c>
      <c r="C1267" s="10">
        <v>-1.5802482480584199</v>
      </c>
      <c r="D1267" s="10">
        <v>6.4714381023919803</v>
      </c>
      <c r="E1267" s="10">
        <v>3.41670160052963E-2</v>
      </c>
      <c r="F1267" s="10" t="str">
        <f>"GREM1"</f>
        <v>GREM1</v>
      </c>
      <c r="G1267" s="10" t="str">
        <f>"protein_coding"</f>
        <v>protein_coding</v>
      </c>
      <c r="J1267" s="14"/>
    </row>
    <row r="1268" spans="1:10" x14ac:dyDescent="0.2">
      <c r="A1268" s="10" t="str">
        <f>"ENSG00000259287.2"</f>
        <v>ENSG00000259287.2</v>
      </c>
      <c r="B1268" s="10">
        <v>1.1281488451100301</v>
      </c>
      <c r="C1268" s="10">
        <v>-1.10823826250251</v>
      </c>
      <c r="D1268" s="10">
        <v>5.9152108911580301</v>
      </c>
      <c r="E1268" s="10">
        <v>4.0228227339334899E-2</v>
      </c>
      <c r="F1268" s="10" t="str">
        <f>"AC010809.1"</f>
        <v>AC010809.1</v>
      </c>
      <c r="G1268" s="10" t="str">
        <f>"antisense"</f>
        <v>antisense</v>
      </c>
      <c r="J1268" s="14"/>
    </row>
    <row r="1269" spans="1:10" x14ac:dyDescent="0.2">
      <c r="A1269" s="10" t="str">
        <f>"ENSG00000140323.6"</f>
        <v>ENSG00000140323.6</v>
      </c>
      <c r="B1269" s="10">
        <v>-1.40683870181708</v>
      </c>
      <c r="C1269" s="10">
        <v>1.5614743163511799</v>
      </c>
      <c r="D1269" s="10">
        <v>7.99975272492894</v>
      </c>
      <c r="E1269" s="10">
        <v>2.19325033823617E-2</v>
      </c>
      <c r="F1269" s="10" t="str">
        <f>"DISP2"</f>
        <v>DISP2</v>
      </c>
      <c r="G1269" s="10" t="str">
        <f t="shared" ref="G1269:G1277" si="46">"protein_coding"</f>
        <v>protein_coding</v>
      </c>
      <c r="J1269" s="14"/>
    </row>
    <row r="1270" spans="1:10" x14ac:dyDescent="0.2">
      <c r="A1270" s="10" t="str">
        <f>"ENSG00000137877.10"</f>
        <v>ENSG00000137877.10</v>
      </c>
      <c r="B1270" s="10">
        <v>-1.6129588431716799</v>
      </c>
      <c r="C1270" s="10">
        <v>1.46752042920876</v>
      </c>
      <c r="D1270" s="10">
        <v>7.0372001643869897</v>
      </c>
      <c r="E1270" s="10">
        <v>2.882022031581E-2</v>
      </c>
      <c r="F1270" s="10" t="str">
        <f>"SPTBN5"</f>
        <v>SPTBN5</v>
      </c>
      <c r="G1270" s="10" t="str">
        <f t="shared" si="46"/>
        <v>protein_coding</v>
      </c>
      <c r="J1270" s="14"/>
    </row>
    <row r="1271" spans="1:10" x14ac:dyDescent="0.2">
      <c r="A1271" s="10" t="str">
        <f>"ENSG00000137842.7"</f>
        <v>ENSG00000137842.7</v>
      </c>
      <c r="B1271" s="10">
        <v>1.4857366029672601</v>
      </c>
      <c r="C1271" s="10">
        <v>3.8348328622720702</v>
      </c>
      <c r="D1271" s="10">
        <v>8.7640374335202793</v>
      </c>
      <c r="E1271" s="10">
        <v>1.7888498715963298E-2</v>
      </c>
      <c r="F1271" s="10" t="str">
        <f>"TMEM62"</f>
        <v>TMEM62</v>
      </c>
      <c r="G1271" s="10" t="str">
        <f t="shared" si="46"/>
        <v>protein_coding</v>
      </c>
      <c r="J1271" s="14"/>
    </row>
    <row r="1272" spans="1:10" x14ac:dyDescent="0.2">
      <c r="A1272" s="10" t="str">
        <f>"ENSG00000242028.6"</f>
        <v>ENSG00000242028.6</v>
      </c>
      <c r="B1272" s="10">
        <v>-1.1625510756877</v>
      </c>
      <c r="C1272" s="10">
        <v>0.89310756069445696</v>
      </c>
      <c r="D1272" s="10">
        <v>6.3650028070108897</v>
      </c>
      <c r="E1272" s="10">
        <v>3.5309549650752198E-2</v>
      </c>
      <c r="F1272" s="10" t="str">
        <f>"HYPK"</f>
        <v>HYPK</v>
      </c>
      <c r="G1272" s="10" t="str">
        <f t="shared" si="46"/>
        <v>protein_coding</v>
      </c>
      <c r="J1272" s="14"/>
    </row>
    <row r="1273" spans="1:10" x14ac:dyDescent="0.2">
      <c r="A1273" s="10" t="str">
        <f>"ENSG00000140274.13"</f>
        <v>ENSG00000140274.13</v>
      </c>
      <c r="B1273" s="10">
        <v>-2.0543405978518798</v>
      </c>
      <c r="C1273" s="10">
        <v>0.89784413746557101</v>
      </c>
      <c r="D1273" s="10">
        <v>13.4854570603414</v>
      </c>
      <c r="E1273" s="10">
        <v>6.1560872039308203E-3</v>
      </c>
      <c r="F1273" s="10" t="str">
        <f>"DUOXA2"</f>
        <v>DUOXA2</v>
      </c>
      <c r="G1273" s="10" t="str">
        <f t="shared" si="46"/>
        <v>protein_coding</v>
      </c>
      <c r="J1273" s="14"/>
    </row>
    <row r="1274" spans="1:10" x14ac:dyDescent="0.2">
      <c r="A1274" s="10" t="str">
        <f>"ENSG00000171766.16"</f>
        <v>ENSG00000171766.16</v>
      </c>
      <c r="B1274" s="10">
        <v>2.8648606541336599</v>
      </c>
      <c r="C1274" s="10">
        <v>2.6195005328328902</v>
      </c>
      <c r="D1274" s="10">
        <v>8.3190434506089996</v>
      </c>
      <c r="E1274" s="10">
        <v>2.0115911121320301E-2</v>
      </c>
      <c r="F1274" s="10" t="str">
        <f>"GATM"</f>
        <v>GATM</v>
      </c>
      <c r="G1274" s="10" t="str">
        <f t="shared" si="46"/>
        <v>protein_coding</v>
      </c>
      <c r="J1274" s="14"/>
    </row>
    <row r="1275" spans="1:10" x14ac:dyDescent="0.2">
      <c r="A1275" s="10" t="str">
        <f>"ENSG00000137767.14"</f>
        <v>ENSG00000137767.14</v>
      </c>
      <c r="B1275" s="10">
        <v>1.50691631254338</v>
      </c>
      <c r="C1275" s="10">
        <v>3.9391431413448998</v>
      </c>
      <c r="D1275" s="10">
        <v>55.586643276845898</v>
      </c>
      <c r="E1275" s="13">
        <v>6.20288979928299E-5</v>
      </c>
      <c r="F1275" s="10" t="str">
        <f>"SQOR"</f>
        <v>SQOR</v>
      </c>
      <c r="G1275" s="10" t="str">
        <f t="shared" si="46"/>
        <v>protein_coding</v>
      </c>
      <c r="J1275" s="14"/>
    </row>
    <row r="1276" spans="1:10" x14ac:dyDescent="0.2">
      <c r="A1276" s="10" t="str">
        <f>"ENSG00000166147.13"</f>
        <v>ENSG00000166147.13</v>
      </c>
      <c r="B1276" s="10">
        <v>-1.89756129351883</v>
      </c>
      <c r="C1276" s="10">
        <v>4.87313120856368</v>
      </c>
      <c r="D1276" s="10">
        <v>15.631045323788401</v>
      </c>
      <c r="E1276" s="10">
        <v>4.1122367258304097E-3</v>
      </c>
      <c r="F1276" s="10" t="str">
        <f>"FBN1"</f>
        <v>FBN1</v>
      </c>
      <c r="G1276" s="10" t="str">
        <f t="shared" si="46"/>
        <v>protein_coding</v>
      </c>
      <c r="J1276" s="14"/>
    </row>
    <row r="1277" spans="1:10" x14ac:dyDescent="0.2">
      <c r="A1277" s="10" t="str">
        <f>"ENSG00000140284.11"</f>
        <v>ENSG00000140284.11</v>
      </c>
      <c r="B1277" s="10">
        <v>1.1701599632153801</v>
      </c>
      <c r="C1277" s="10">
        <v>4.2324984063179301</v>
      </c>
      <c r="D1277" s="10">
        <v>14.0666615742091</v>
      </c>
      <c r="E1277" s="10">
        <v>5.4961013796894003E-3</v>
      </c>
      <c r="F1277" s="10" t="str">
        <f>"SLC27A2"</f>
        <v>SLC27A2</v>
      </c>
      <c r="G1277" s="10" t="str">
        <f t="shared" si="46"/>
        <v>protein_coding</v>
      </c>
      <c r="J1277" s="14"/>
    </row>
    <row r="1278" spans="1:10" x14ac:dyDescent="0.2">
      <c r="A1278" s="10" t="str">
        <f>"ENSG00000273674.4"</f>
        <v>ENSG00000273674.4</v>
      </c>
      <c r="B1278" s="10">
        <v>1.41659240674939</v>
      </c>
      <c r="C1278" s="10">
        <v>-1.35140287891956</v>
      </c>
      <c r="D1278" s="10">
        <v>7.3386971297472998</v>
      </c>
      <c r="E1278" s="10">
        <v>2.60017496204316E-2</v>
      </c>
      <c r="F1278" s="10" t="str">
        <f>"AC021752.1"</f>
        <v>AC021752.1</v>
      </c>
      <c r="G1278" s="10" t="str">
        <f>"lincRNA"</f>
        <v>lincRNA</v>
      </c>
      <c r="J1278" s="14"/>
    </row>
    <row r="1279" spans="1:10" x14ac:dyDescent="0.2">
      <c r="A1279" s="10" t="str">
        <f>"ENSG00000140280.14"</f>
        <v>ENSG00000140280.14</v>
      </c>
      <c r="B1279" s="10">
        <v>-1.0813257570955299</v>
      </c>
      <c r="C1279" s="10">
        <v>1.7478351502204299</v>
      </c>
      <c r="D1279" s="10">
        <v>6.2564802833585702</v>
      </c>
      <c r="E1279" s="10">
        <v>3.65247707819603E-2</v>
      </c>
      <c r="F1279" s="10" t="str">
        <f>"LYSMD2"</f>
        <v>LYSMD2</v>
      </c>
      <c r="G1279" s="10" t="str">
        <f>"protein_coding"</f>
        <v>protein_coding</v>
      </c>
      <c r="J1279" s="14"/>
    </row>
    <row r="1280" spans="1:10" x14ac:dyDescent="0.2">
      <c r="A1280" s="10" t="str">
        <f>"ENSG00000274528.1"</f>
        <v>ENSG00000274528.1</v>
      </c>
      <c r="B1280" s="10">
        <v>1.4654768976096499</v>
      </c>
      <c r="C1280" s="10">
        <v>-0.83631836227080503</v>
      </c>
      <c r="D1280" s="10">
        <v>10.9846287564215</v>
      </c>
      <c r="E1280" s="10">
        <v>1.0202224553424601E-2</v>
      </c>
      <c r="F1280" s="10" t="str">
        <f>"AC090970.2"</f>
        <v>AC090970.2</v>
      </c>
      <c r="G1280" s="10" t="str">
        <f>"sense_intronic"</f>
        <v>sense_intronic</v>
      </c>
      <c r="J1280" s="14"/>
    </row>
    <row r="1281" spans="1:10" x14ac:dyDescent="0.2">
      <c r="A1281" s="10" t="str">
        <f>"ENSG00000069943.10"</f>
        <v>ENSG00000069943.10</v>
      </c>
      <c r="B1281" s="10">
        <v>1.2416374926915601</v>
      </c>
      <c r="C1281" s="10">
        <v>2.62701956627695</v>
      </c>
      <c r="D1281" s="10">
        <v>13.824371980969699</v>
      </c>
      <c r="E1281" s="10">
        <v>5.7599011198487503E-3</v>
      </c>
      <c r="F1281" s="10" t="str">
        <f>"PIGB"</f>
        <v>PIGB</v>
      </c>
      <c r="G1281" s="10" t="str">
        <f>"protein_coding"</f>
        <v>protein_coding</v>
      </c>
      <c r="J1281" s="14"/>
    </row>
    <row r="1282" spans="1:10" x14ac:dyDescent="0.2">
      <c r="A1282" s="10" t="str">
        <f>"ENSG00000171016.12"</f>
        <v>ENSG00000171016.12</v>
      </c>
      <c r="B1282" s="10">
        <v>-1.18371442067343</v>
      </c>
      <c r="C1282" s="10">
        <v>2.7387978013367298</v>
      </c>
      <c r="D1282" s="10">
        <v>23.106011060265701</v>
      </c>
      <c r="E1282" s="10">
        <v>1.23790575815757E-3</v>
      </c>
      <c r="F1282" s="10" t="str">
        <f>"PYGO1"</f>
        <v>PYGO1</v>
      </c>
      <c r="G1282" s="10" t="str">
        <f>"protein_coding"</f>
        <v>protein_coding</v>
      </c>
      <c r="J1282" s="14"/>
    </row>
    <row r="1283" spans="1:10" x14ac:dyDescent="0.2">
      <c r="A1283" s="10" t="str">
        <f>"ENSG00000285805.1"</f>
        <v>ENSG00000285805.1</v>
      </c>
      <c r="B1283" s="10">
        <v>-2.6495803696629801</v>
      </c>
      <c r="C1283" s="10">
        <v>-1.8933737545491001</v>
      </c>
      <c r="D1283" s="10">
        <v>10.601427201875699</v>
      </c>
      <c r="E1283" s="10">
        <v>1.11468822789788E-2</v>
      </c>
      <c r="F1283" s="10" t="str">
        <f>"AC012378.2"</f>
        <v>AC012378.2</v>
      </c>
      <c r="G1283" s="10" t="str">
        <f>"antisense"</f>
        <v>antisense</v>
      </c>
      <c r="J1283" s="14"/>
    </row>
    <row r="1284" spans="1:10" x14ac:dyDescent="0.2">
      <c r="A1284" s="10" t="str">
        <f>"ENSG00000166035.11"</f>
        <v>ENSG00000166035.11</v>
      </c>
      <c r="B1284" s="10">
        <v>1.45509917646539</v>
      </c>
      <c r="C1284" s="10">
        <v>5.1299507735609504</v>
      </c>
      <c r="D1284" s="10">
        <v>33.212018769980403</v>
      </c>
      <c r="E1284" s="10">
        <v>4.0373324035510602E-4</v>
      </c>
      <c r="F1284" s="10" t="str">
        <f>"LIPC"</f>
        <v>LIPC</v>
      </c>
      <c r="G1284" s="10" t="str">
        <f t="shared" ref="G1284:G1294" si="47">"protein_coding"</f>
        <v>protein_coding</v>
      </c>
      <c r="J1284" s="14"/>
    </row>
    <row r="1285" spans="1:10" x14ac:dyDescent="0.2">
      <c r="A1285" s="10" t="str">
        <f>"ENSG00000140297.13"</f>
        <v>ENSG00000140297.13</v>
      </c>
      <c r="B1285" s="10">
        <v>1.14807692759752</v>
      </c>
      <c r="C1285" s="10">
        <v>4.2179785030673402</v>
      </c>
      <c r="D1285" s="10">
        <v>19.841199952073701</v>
      </c>
      <c r="E1285" s="10">
        <v>2.0631524569474898E-3</v>
      </c>
      <c r="F1285" s="10" t="str">
        <f>"GCNT3"</f>
        <v>GCNT3</v>
      </c>
      <c r="G1285" s="10" t="str">
        <f t="shared" si="47"/>
        <v>protein_coding</v>
      </c>
      <c r="J1285" s="14"/>
    </row>
    <row r="1286" spans="1:10" x14ac:dyDescent="0.2">
      <c r="A1286" s="10" t="str">
        <f>"ENSG00000182718.16"</f>
        <v>ENSG00000182718.16</v>
      </c>
      <c r="B1286" s="10">
        <v>1.56428817947956</v>
      </c>
      <c r="C1286" s="10">
        <v>7.0360355372611698</v>
      </c>
      <c r="D1286" s="10">
        <v>7.0869824398356203</v>
      </c>
      <c r="E1286" s="10">
        <v>2.8402079611312601E-2</v>
      </c>
      <c r="F1286" s="10" t="str">
        <f>"ANXA2"</f>
        <v>ANXA2</v>
      </c>
      <c r="G1286" s="10" t="str">
        <f t="shared" si="47"/>
        <v>protein_coding</v>
      </c>
      <c r="J1286" s="14"/>
    </row>
    <row r="1287" spans="1:10" x14ac:dyDescent="0.2">
      <c r="A1287" s="10" t="str">
        <f>"ENSG00000234438.4"</f>
        <v>ENSG00000234438.4</v>
      </c>
      <c r="B1287" s="10">
        <v>-2.6437015458087898</v>
      </c>
      <c r="C1287" s="10">
        <v>-1.89528541474474</v>
      </c>
      <c r="D1287" s="10">
        <v>10.138330319164499</v>
      </c>
      <c r="E1287" s="10">
        <v>1.2439443504036699E-2</v>
      </c>
      <c r="F1287" s="10" t="str">
        <f>"KBTBD13"</f>
        <v>KBTBD13</v>
      </c>
      <c r="G1287" s="10" t="str">
        <f t="shared" si="47"/>
        <v>protein_coding</v>
      </c>
      <c r="J1287" s="14"/>
    </row>
    <row r="1288" spans="1:10" x14ac:dyDescent="0.2">
      <c r="A1288" s="10" t="str">
        <f>"ENSG00000174485.15"</f>
        <v>ENSG00000174485.15</v>
      </c>
      <c r="B1288" s="10">
        <v>1.0081844794211201</v>
      </c>
      <c r="C1288" s="10">
        <v>6.1618029206298699</v>
      </c>
      <c r="D1288" s="10">
        <v>8.3333684596688702</v>
      </c>
      <c r="E1288" s="10">
        <v>2.00389372659158E-2</v>
      </c>
      <c r="F1288" s="10" t="str">
        <f>"DENND4A"</f>
        <v>DENND4A</v>
      </c>
      <c r="G1288" s="10" t="str">
        <f t="shared" si="47"/>
        <v>protein_coding</v>
      </c>
      <c r="J1288" s="14"/>
    </row>
    <row r="1289" spans="1:10" x14ac:dyDescent="0.2">
      <c r="A1289" s="10" t="str">
        <f>"ENSG00000157890.17"</f>
        <v>ENSG00000157890.17</v>
      </c>
      <c r="B1289" s="10">
        <v>-1.1131556878262501</v>
      </c>
      <c r="C1289" s="10">
        <v>-0.54339311147046798</v>
      </c>
      <c r="D1289" s="10">
        <v>5.3138944558210799</v>
      </c>
      <c r="E1289" s="10">
        <v>4.96358829527117E-2</v>
      </c>
      <c r="F1289" s="10" t="str">
        <f>"MEGF11"</f>
        <v>MEGF11</v>
      </c>
      <c r="G1289" s="10" t="str">
        <f t="shared" si="47"/>
        <v>protein_coding</v>
      </c>
      <c r="J1289" s="14"/>
    </row>
    <row r="1290" spans="1:10" x14ac:dyDescent="0.2">
      <c r="A1290" s="10" t="str">
        <f>"ENSG00000129028.9"</f>
        <v>ENSG00000129028.9</v>
      </c>
      <c r="B1290" s="10">
        <v>-1.3634752202340099</v>
      </c>
      <c r="C1290" s="10">
        <v>2.17582163348417</v>
      </c>
      <c r="D1290" s="10">
        <v>21.403690891176002</v>
      </c>
      <c r="E1290" s="10">
        <v>1.6138867906530601E-3</v>
      </c>
      <c r="F1290" s="10" t="str">
        <f>"THAP10"</f>
        <v>THAP10</v>
      </c>
      <c r="G1290" s="10" t="str">
        <f t="shared" si="47"/>
        <v>protein_coding</v>
      </c>
      <c r="J1290" s="14"/>
    </row>
    <row r="1291" spans="1:10" x14ac:dyDescent="0.2">
      <c r="A1291" s="10" t="str">
        <f>"ENSG00000187720.14"</f>
        <v>ENSG00000187720.14</v>
      </c>
      <c r="B1291" s="10">
        <v>-1.10621514941071</v>
      </c>
      <c r="C1291" s="10">
        <v>0.48193257980287901</v>
      </c>
      <c r="D1291" s="10">
        <v>7.7010288728618201</v>
      </c>
      <c r="E1291" s="10">
        <v>2.3823180292958698E-2</v>
      </c>
      <c r="F1291" s="10" t="str">
        <f>"THSD4"</f>
        <v>THSD4</v>
      </c>
      <c r="G1291" s="10" t="str">
        <f t="shared" si="47"/>
        <v>protein_coding</v>
      </c>
      <c r="J1291" s="14"/>
    </row>
    <row r="1292" spans="1:10" x14ac:dyDescent="0.2">
      <c r="A1292" s="10" t="str">
        <f>"ENSG00000175318.12"</f>
        <v>ENSG00000175318.12</v>
      </c>
      <c r="B1292" s="10">
        <v>-1.7197725198042</v>
      </c>
      <c r="C1292" s="10">
        <v>-0.174793953348891</v>
      </c>
      <c r="D1292" s="10">
        <v>5.4878005732429598</v>
      </c>
      <c r="E1292" s="10">
        <v>4.68468405947539E-2</v>
      </c>
      <c r="F1292" s="10" t="str">
        <f>"GRAMD2A"</f>
        <v>GRAMD2A</v>
      </c>
      <c r="G1292" s="10" t="str">
        <f t="shared" si="47"/>
        <v>protein_coding</v>
      </c>
      <c r="J1292" s="14"/>
    </row>
    <row r="1293" spans="1:10" x14ac:dyDescent="0.2">
      <c r="A1293" s="10" t="str">
        <f>"ENSG00000137817.17"</f>
        <v>ENSG00000137817.17</v>
      </c>
      <c r="B1293" s="10">
        <v>-1.6836518846573001</v>
      </c>
      <c r="C1293" s="10">
        <v>0.52980946224575498</v>
      </c>
      <c r="D1293" s="10">
        <v>12.526845254883799</v>
      </c>
      <c r="E1293" s="10">
        <v>7.47733648242068E-3</v>
      </c>
      <c r="F1293" s="10" t="str">
        <f>"PARP6"</f>
        <v>PARP6</v>
      </c>
      <c r="G1293" s="10" t="str">
        <f t="shared" si="47"/>
        <v>protein_coding</v>
      </c>
      <c r="J1293" s="14"/>
    </row>
    <row r="1294" spans="1:10" x14ac:dyDescent="0.2">
      <c r="A1294" s="10" t="str">
        <f>"ENSG00000260729.1"</f>
        <v>ENSG00000260729.1</v>
      </c>
      <c r="B1294" s="10">
        <v>-1.2969762943579899</v>
      </c>
      <c r="C1294" s="10">
        <v>0.29961148306778701</v>
      </c>
      <c r="D1294" s="10">
        <v>9.4109699875796995</v>
      </c>
      <c r="E1294" s="10">
        <v>1.51750322217294E-2</v>
      </c>
      <c r="F1294" s="10" t="str">
        <f>"AC009690.1"</f>
        <v>AC009690.1</v>
      </c>
      <c r="G1294" s="10" t="str">
        <f t="shared" si="47"/>
        <v>protein_coding</v>
      </c>
      <c r="J1294" s="14"/>
    </row>
    <row r="1295" spans="1:10" x14ac:dyDescent="0.2">
      <c r="A1295" s="10" t="str">
        <f>"ENSG00000260339.1"</f>
        <v>ENSG00000260339.1</v>
      </c>
      <c r="B1295" s="10">
        <v>-2.0953541567743899</v>
      </c>
      <c r="C1295" s="10">
        <v>-1.0414254119255599</v>
      </c>
      <c r="D1295" s="10">
        <v>10.752617616637099</v>
      </c>
      <c r="E1295" s="10">
        <v>1.1013676849336299E-2</v>
      </c>
      <c r="F1295" s="10" t="str">
        <f>"HEXA-AS1"</f>
        <v>HEXA-AS1</v>
      </c>
      <c r="G1295" s="10" t="str">
        <f>"antisense"</f>
        <v>antisense</v>
      </c>
      <c r="J1295" s="14"/>
    </row>
    <row r="1296" spans="1:10" x14ac:dyDescent="0.2">
      <c r="A1296" s="10" t="str">
        <f>"ENSG00000138622.4"</f>
        <v>ENSG00000138622.4</v>
      </c>
      <c r="B1296" s="10">
        <v>-1.9621530752424401</v>
      </c>
      <c r="C1296" s="10">
        <v>1.0362485189282</v>
      </c>
      <c r="D1296" s="10">
        <v>11.9510794127651</v>
      </c>
      <c r="E1296" s="10">
        <v>8.4437560089714002E-3</v>
      </c>
      <c r="F1296" s="10" t="str">
        <f>"HCN4"</f>
        <v>HCN4</v>
      </c>
      <c r="G1296" s="10" t="str">
        <f>"protein_coding"</f>
        <v>protein_coding</v>
      </c>
      <c r="J1296" s="14"/>
    </row>
    <row r="1297" spans="1:10" x14ac:dyDescent="0.2">
      <c r="A1297" s="10" t="str">
        <f>"ENSG00000205363.5"</f>
        <v>ENSG00000205363.5</v>
      </c>
      <c r="B1297" s="10">
        <v>-2.6361377745275099</v>
      </c>
      <c r="C1297" s="10">
        <v>-1.0690616468440199</v>
      </c>
      <c r="D1297" s="10">
        <v>8.2439419232768696</v>
      </c>
      <c r="E1297" s="10">
        <v>2.0525611217417299E-2</v>
      </c>
      <c r="F1297" s="10" t="str">
        <f>"INSYN1"</f>
        <v>INSYN1</v>
      </c>
      <c r="G1297" s="10" t="str">
        <f>"protein_coding"</f>
        <v>protein_coding</v>
      </c>
      <c r="J1297" s="14"/>
    </row>
    <row r="1298" spans="1:10" x14ac:dyDescent="0.2">
      <c r="A1298" s="10" t="str">
        <f>"ENSG00000261801.5"</f>
        <v>ENSG00000261801.5</v>
      </c>
      <c r="B1298" s="10">
        <v>-1.4924576225115</v>
      </c>
      <c r="C1298" s="10">
        <v>0.117331891658451</v>
      </c>
      <c r="D1298" s="10">
        <v>5.9077178301713698</v>
      </c>
      <c r="E1298" s="10">
        <v>4.0807076841265201E-2</v>
      </c>
      <c r="F1298" s="10" t="str">
        <f>"LOXL1-AS1"</f>
        <v>LOXL1-AS1</v>
      </c>
      <c r="G1298" s="10" t="str">
        <f>"antisense"</f>
        <v>antisense</v>
      </c>
      <c r="J1298" s="14"/>
    </row>
    <row r="1299" spans="1:10" x14ac:dyDescent="0.2">
      <c r="A1299" s="10" t="str">
        <f>"ENSG00000129038.16"</f>
        <v>ENSG00000129038.16</v>
      </c>
      <c r="B1299" s="10">
        <v>-1.8732732405605499</v>
      </c>
      <c r="C1299" s="10">
        <v>3.6865230244026002</v>
      </c>
      <c r="D1299" s="10">
        <v>6.8557193658084596</v>
      </c>
      <c r="E1299" s="10">
        <v>3.04120065619875E-2</v>
      </c>
      <c r="F1299" s="10" t="str">
        <f>"LOXL1"</f>
        <v>LOXL1</v>
      </c>
      <c r="G1299" s="10" t="str">
        <f t="shared" ref="G1299:G1308" si="48">"protein_coding"</f>
        <v>protein_coding</v>
      </c>
      <c r="J1299" s="14"/>
    </row>
    <row r="1300" spans="1:10" x14ac:dyDescent="0.2">
      <c r="A1300" s="10" t="str">
        <f>"ENSG00000178718.6"</f>
        <v>ENSG00000178718.6</v>
      </c>
      <c r="B1300" s="10">
        <v>-1.3958434421463499</v>
      </c>
      <c r="C1300" s="10">
        <v>0.56127853907620096</v>
      </c>
      <c r="D1300" s="10">
        <v>8.0048421260909493</v>
      </c>
      <c r="E1300" s="10">
        <v>2.19019623064616E-2</v>
      </c>
      <c r="F1300" s="10" t="str">
        <f>"RPP25"</f>
        <v>RPP25</v>
      </c>
      <c r="G1300" s="10" t="str">
        <f t="shared" si="48"/>
        <v>protein_coding</v>
      </c>
      <c r="J1300" s="14"/>
    </row>
    <row r="1301" spans="1:10" x14ac:dyDescent="0.2">
      <c r="A1301" s="10" t="str">
        <f>"ENSG00000169783.12"</f>
        <v>ENSG00000169783.12</v>
      </c>
      <c r="B1301" s="10">
        <v>-2.2823489376494899</v>
      </c>
      <c r="C1301" s="10">
        <v>0.53316081805680604</v>
      </c>
      <c r="D1301" s="10">
        <v>8.5160130774722997</v>
      </c>
      <c r="E1301" s="10">
        <v>1.90892699818359E-2</v>
      </c>
      <c r="F1301" s="10" t="str">
        <f>"LINGO1"</f>
        <v>LINGO1</v>
      </c>
      <c r="G1301" s="10" t="str">
        <f t="shared" si="48"/>
        <v>protein_coding</v>
      </c>
      <c r="J1301" s="14"/>
    </row>
    <row r="1302" spans="1:10" x14ac:dyDescent="0.2">
      <c r="A1302" s="10" t="str">
        <f>"ENSG00000136425.13"</f>
        <v>ENSG00000136425.13</v>
      </c>
      <c r="B1302" s="10">
        <v>-1.56186668910969</v>
      </c>
      <c r="C1302" s="10">
        <v>1.97573915816788</v>
      </c>
      <c r="D1302" s="10">
        <v>21.8250861219916</v>
      </c>
      <c r="E1302" s="10">
        <v>1.54695616591955E-3</v>
      </c>
      <c r="F1302" s="10" t="str">
        <f>"CIB2"</f>
        <v>CIB2</v>
      </c>
      <c r="G1302" s="10" t="str">
        <f t="shared" si="48"/>
        <v>protein_coding</v>
      </c>
      <c r="J1302" s="14"/>
    </row>
    <row r="1303" spans="1:10" x14ac:dyDescent="0.2">
      <c r="A1303" s="10" t="str">
        <f>"ENSG00000140403.12"</f>
        <v>ENSG00000140403.12</v>
      </c>
      <c r="B1303" s="10">
        <v>-1.3766037309960399</v>
      </c>
      <c r="C1303" s="10">
        <v>0.12393491626145001</v>
      </c>
      <c r="D1303" s="10">
        <v>9.9124812779383902</v>
      </c>
      <c r="E1303" s="10">
        <v>1.34199843662115E-2</v>
      </c>
      <c r="F1303" s="10" t="str">
        <f>"DNAJA4"</f>
        <v>DNAJA4</v>
      </c>
      <c r="G1303" s="10" t="str">
        <f t="shared" si="48"/>
        <v>protein_coding</v>
      </c>
      <c r="J1303" s="14"/>
    </row>
    <row r="1304" spans="1:10" x14ac:dyDescent="0.2">
      <c r="A1304" s="10" t="str">
        <f>"ENSG00000169684.13"</f>
        <v>ENSG00000169684.13</v>
      </c>
      <c r="B1304" s="10">
        <v>-1.5052441617664101</v>
      </c>
      <c r="C1304" s="10">
        <v>1.4766358938489701</v>
      </c>
      <c r="D1304" s="10">
        <v>13.314738198826101</v>
      </c>
      <c r="E1304" s="10">
        <v>6.3685827712050601E-3</v>
      </c>
      <c r="F1304" s="10" t="str">
        <f>"CHRNA5"</f>
        <v>CHRNA5</v>
      </c>
      <c r="G1304" s="10" t="str">
        <f t="shared" si="48"/>
        <v>protein_coding</v>
      </c>
      <c r="J1304" s="14"/>
    </row>
    <row r="1305" spans="1:10" x14ac:dyDescent="0.2">
      <c r="A1305" s="10" t="str">
        <f>"ENSG00000136378.15"</f>
        <v>ENSG00000136378.15</v>
      </c>
      <c r="B1305" s="10">
        <v>-1.3446020570399599</v>
      </c>
      <c r="C1305" s="10">
        <v>6.7491686295160003</v>
      </c>
      <c r="D1305" s="10">
        <v>7.0094197216320602</v>
      </c>
      <c r="E1305" s="10">
        <v>2.9056942011438599E-2</v>
      </c>
      <c r="F1305" s="10" t="str">
        <f>"ADAMTS7"</f>
        <v>ADAMTS7</v>
      </c>
      <c r="G1305" s="10" t="str">
        <f t="shared" si="48"/>
        <v>protein_coding</v>
      </c>
      <c r="J1305" s="14"/>
    </row>
    <row r="1306" spans="1:10" x14ac:dyDescent="0.2">
      <c r="A1306" s="10" t="str">
        <f>"ENSG00000235711.4"</f>
        <v>ENSG00000235711.4</v>
      </c>
      <c r="B1306" s="10">
        <v>-3.03039053233885</v>
      </c>
      <c r="C1306" s="10">
        <v>-2.1546049672384902</v>
      </c>
      <c r="D1306" s="10">
        <v>7.7965727846312296</v>
      </c>
      <c r="E1306" s="10">
        <v>2.31968686542239E-2</v>
      </c>
      <c r="F1306" s="10" t="str">
        <f>"ANKRD34C"</f>
        <v>ANKRD34C</v>
      </c>
      <c r="G1306" s="10" t="str">
        <f t="shared" si="48"/>
        <v>protein_coding</v>
      </c>
      <c r="J1306" s="14"/>
    </row>
    <row r="1307" spans="1:10" x14ac:dyDescent="0.2">
      <c r="A1307" s="10" t="str">
        <f>"ENSG00000103888.17"</f>
        <v>ENSG00000103888.17</v>
      </c>
      <c r="B1307" s="10">
        <v>2.2350742263861498</v>
      </c>
      <c r="C1307" s="10">
        <v>6.4231764419024397</v>
      </c>
      <c r="D1307" s="10">
        <v>22.439170712057798</v>
      </c>
      <c r="E1307" s="10">
        <v>1.4207590384467601E-3</v>
      </c>
      <c r="F1307" s="10" t="str">
        <f>"CEMIP"</f>
        <v>CEMIP</v>
      </c>
      <c r="G1307" s="10" t="str">
        <f t="shared" si="48"/>
        <v>protein_coding</v>
      </c>
      <c r="J1307" s="14"/>
    </row>
    <row r="1308" spans="1:10" x14ac:dyDescent="0.2">
      <c r="A1308" s="10" t="str">
        <f>"ENSG00000172345.14"</f>
        <v>ENSG00000172345.14</v>
      </c>
      <c r="B1308" s="10">
        <v>-1.1617070461444801</v>
      </c>
      <c r="C1308" s="10">
        <v>1.41391879941717</v>
      </c>
      <c r="D1308" s="10">
        <v>8.4403967258004293</v>
      </c>
      <c r="E1308" s="10">
        <v>1.94754134006325E-2</v>
      </c>
      <c r="F1308" s="10" t="str">
        <f>"STARD5"</f>
        <v>STARD5</v>
      </c>
      <c r="G1308" s="10" t="str">
        <f t="shared" si="48"/>
        <v>protein_coding</v>
      </c>
      <c r="J1308" s="14"/>
    </row>
    <row r="1309" spans="1:10" x14ac:dyDescent="0.2">
      <c r="A1309" s="10" t="str">
        <f>"ENSG00000274376.4"</f>
        <v>ENSG00000274376.4</v>
      </c>
      <c r="B1309" s="10">
        <v>-2.0725849951776798</v>
      </c>
      <c r="C1309" s="10">
        <v>-1.2543133122422301</v>
      </c>
      <c r="D1309" s="10">
        <v>7.8936139322234604</v>
      </c>
      <c r="E1309" s="10">
        <v>2.2581843491267399E-2</v>
      </c>
      <c r="F1309" s="10" t="str">
        <f>"ADAMTS7P1"</f>
        <v>ADAMTS7P1</v>
      </c>
      <c r="G1309" s="10" t="str">
        <f>"transcribed_unprocessed_pseudogene"</f>
        <v>transcribed_unprocessed_pseudogene</v>
      </c>
      <c r="J1309" s="14"/>
    </row>
    <row r="1310" spans="1:10" x14ac:dyDescent="0.2">
      <c r="A1310" s="10" t="str">
        <f>"ENSG00000103723.13"</f>
        <v>ENSG00000103723.13</v>
      </c>
      <c r="B1310" s="10">
        <v>-2.735707218106</v>
      </c>
      <c r="C1310" s="10">
        <v>-0.99713393942695105</v>
      </c>
      <c r="D1310" s="10">
        <v>23.353932862275101</v>
      </c>
      <c r="E1310" s="10">
        <v>1.1970990507717001E-3</v>
      </c>
      <c r="F1310" s="10" t="str">
        <f>"AP3B2"</f>
        <v>AP3B2</v>
      </c>
      <c r="G1310" s="10" t="str">
        <f>"protein_coding"</f>
        <v>protein_coding</v>
      </c>
      <c r="J1310" s="14"/>
    </row>
    <row r="1311" spans="1:10" x14ac:dyDescent="0.2">
      <c r="A1311" s="10" t="str">
        <f>"ENSG00000166503.9"</f>
        <v>ENSG00000166503.9</v>
      </c>
      <c r="B1311" s="10">
        <v>-1.6785702579432999</v>
      </c>
      <c r="C1311" s="10">
        <v>0.99182733585876104</v>
      </c>
      <c r="D1311" s="10">
        <v>17.895040281932701</v>
      </c>
      <c r="E1311" s="10">
        <v>2.7964667509902202E-3</v>
      </c>
      <c r="F1311" s="10" t="str">
        <f>"HDGFL3"</f>
        <v>HDGFL3</v>
      </c>
      <c r="G1311" s="10" t="str">
        <f>"protein_coding"</f>
        <v>protein_coding</v>
      </c>
      <c r="J1311" s="14"/>
    </row>
    <row r="1312" spans="1:10" x14ac:dyDescent="0.2">
      <c r="A1312" s="10" t="str">
        <f>"ENSG00000259726.1"</f>
        <v>ENSG00000259726.1</v>
      </c>
      <c r="B1312" s="10">
        <v>-2.1084857468395399</v>
      </c>
      <c r="C1312" s="10">
        <v>-1.59151259719851</v>
      </c>
      <c r="D1312" s="10">
        <v>6.1240551384493704</v>
      </c>
      <c r="E1312" s="10">
        <v>3.8080382554065997E-2</v>
      </c>
      <c r="F1312" s="10" t="str">
        <f>"CSPG4P11"</f>
        <v>CSPG4P11</v>
      </c>
      <c r="G1312" s="10" t="str">
        <f>"unprocessed_pseudogene"</f>
        <v>unprocessed_pseudogene</v>
      </c>
      <c r="J1312" s="14"/>
    </row>
    <row r="1313" spans="1:10" x14ac:dyDescent="0.2">
      <c r="A1313" s="10" t="str">
        <f>"ENSG00000259728.5"</f>
        <v>ENSG00000259728.5</v>
      </c>
      <c r="B1313" s="10">
        <v>2.63730277718573</v>
      </c>
      <c r="C1313" s="10">
        <v>-2.01998981859</v>
      </c>
      <c r="D1313" s="10">
        <v>8.9816114646468996</v>
      </c>
      <c r="E1313" s="10">
        <v>1.6674292304838901E-2</v>
      </c>
      <c r="F1313" s="10" t="str">
        <f>"LINC00933"</f>
        <v>LINC00933</v>
      </c>
      <c r="G1313" s="10" t="str">
        <f>"transcribed_unprocessed_pseudogene"</f>
        <v>transcribed_unprocessed_pseudogene</v>
      </c>
      <c r="J1313" s="14"/>
    </row>
    <row r="1314" spans="1:10" x14ac:dyDescent="0.2">
      <c r="A1314" s="10" t="str">
        <f>"ENSG00000197696.10"</f>
        <v>ENSG00000197696.10</v>
      </c>
      <c r="B1314" s="10">
        <v>-1.00095659699041</v>
      </c>
      <c r="C1314" s="10">
        <v>5.6201944352161703</v>
      </c>
      <c r="D1314" s="10">
        <v>21.5198338492714</v>
      </c>
      <c r="E1314" s="10">
        <v>1.6148967057560901E-3</v>
      </c>
      <c r="F1314" s="10" t="str">
        <f>"NMB"</f>
        <v>NMB</v>
      </c>
      <c r="G1314" s="10" t="str">
        <f t="shared" ref="G1314:G1319" si="49">"protein_coding"</f>
        <v>protein_coding</v>
      </c>
      <c r="J1314" s="14"/>
    </row>
    <row r="1315" spans="1:10" x14ac:dyDescent="0.2">
      <c r="A1315" s="10" t="str">
        <f>"ENSG00000140511.11"</f>
        <v>ENSG00000140511.11</v>
      </c>
      <c r="B1315" s="10">
        <v>-2.4469657479202098</v>
      </c>
      <c r="C1315" s="10">
        <v>-0.31634364057187297</v>
      </c>
      <c r="D1315" s="10">
        <v>15.142955398001</v>
      </c>
      <c r="E1315" s="10">
        <v>4.4916545401870699E-3</v>
      </c>
      <c r="F1315" s="10" t="str">
        <f>"HAPLN3"</f>
        <v>HAPLN3</v>
      </c>
      <c r="G1315" s="10" t="str">
        <f t="shared" si="49"/>
        <v>protein_coding</v>
      </c>
      <c r="J1315" s="14"/>
    </row>
    <row r="1316" spans="1:10" x14ac:dyDescent="0.2">
      <c r="A1316" s="10" t="str">
        <f>"ENSG00000140545.15"</f>
        <v>ENSG00000140545.15</v>
      </c>
      <c r="B1316" s="10">
        <v>-1.40386844324689</v>
      </c>
      <c r="C1316" s="10">
        <v>6.0699508669984601</v>
      </c>
      <c r="D1316" s="10">
        <v>5.9593675440573701</v>
      </c>
      <c r="E1316" s="10">
        <v>4.0134153151896799E-2</v>
      </c>
      <c r="F1316" s="10" t="str">
        <f>"MFGE8"</f>
        <v>MFGE8</v>
      </c>
      <c r="G1316" s="10" t="str">
        <f t="shared" si="49"/>
        <v>protein_coding</v>
      </c>
      <c r="J1316" s="14"/>
    </row>
    <row r="1317" spans="1:10" x14ac:dyDescent="0.2">
      <c r="A1317" s="10" t="str">
        <f>"ENSG00000166825.14"</f>
        <v>ENSG00000166825.14</v>
      </c>
      <c r="B1317" s="10">
        <v>1.0637720919926601</v>
      </c>
      <c r="C1317" s="10">
        <v>7.1683758927200998</v>
      </c>
      <c r="D1317" s="10">
        <v>15.2885385475478</v>
      </c>
      <c r="E1317" s="10">
        <v>4.3740624088771099E-3</v>
      </c>
      <c r="F1317" s="10" t="str">
        <f>"ANPEP"</f>
        <v>ANPEP</v>
      </c>
      <c r="G1317" s="10" t="str">
        <f t="shared" si="49"/>
        <v>protein_coding</v>
      </c>
      <c r="J1317" s="14"/>
    </row>
    <row r="1318" spans="1:10" x14ac:dyDescent="0.2">
      <c r="A1318" s="10" t="str">
        <f>"ENSG00000185518.11"</f>
        <v>ENSG00000185518.11</v>
      </c>
      <c r="B1318" s="10">
        <v>-1.32958843483004</v>
      </c>
      <c r="C1318" s="10">
        <v>-0.70254556032911097</v>
      </c>
      <c r="D1318" s="10">
        <v>5.4836024016265998</v>
      </c>
      <c r="E1318" s="10">
        <v>4.69127694399607E-2</v>
      </c>
      <c r="F1318" s="10" t="str">
        <f>"SV2B"</f>
        <v>SV2B</v>
      </c>
      <c r="G1318" s="10" t="str">
        <f t="shared" si="49"/>
        <v>protein_coding</v>
      </c>
      <c r="J1318" s="14"/>
    </row>
    <row r="1319" spans="1:10" x14ac:dyDescent="0.2">
      <c r="A1319" s="10" t="str">
        <f>"ENSG00000176463.14"</f>
        <v>ENSG00000176463.14</v>
      </c>
      <c r="B1319" s="10">
        <v>-1.93228892555114</v>
      </c>
      <c r="C1319" s="10">
        <v>-1.04813074729737</v>
      </c>
      <c r="D1319" s="10">
        <v>5.5579940767627098</v>
      </c>
      <c r="E1319" s="10">
        <v>4.5761760385544303E-2</v>
      </c>
      <c r="F1319" s="10" t="str">
        <f>"SLCO3A1"</f>
        <v>SLCO3A1</v>
      </c>
      <c r="G1319" s="10" t="str">
        <f t="shared" si="49"/>
        <v>protein_coding</v>
      </c>
      <c r="J1319" s="14"/>
    </row>
    <row r="1320" spans="1:10" x14ac:dyDescent="0.2">
      <c r="A1320" s="10" t="str">
        <f>"ENSG00000258527.1"</f>
        <v>ENSG00000258527.1</v>
      </c>
      <c r="B1320" s="10">
        <v>1.7057530798940801</v>
      </c>
      <c r="C1320" s="10">
        <v>-0.98054208110058505</v>
      </c>
      <c r="D1320" s="10">
        <v>8.1494557049682008</v>
      </c>
      <c r="E1320" s="10">
        <v>2.1056109156013299E-2</v>
      </c>
      <c r="F1320" s="10" t="str">
        <f>"ASB9P1"</f>
        <v>ASB9P1</v>
      </c>
      <c r="G1320" s="10" t="str">
        <f>"processed_pseudogene"</f>
        <v>processed_pseudogene</v>
      </c>
      <c r="J1320" s="14"/>
    </row>
    <row r="1321" spans="1:10" x14ac:dyDescent="0.2">
      <c r="A1321" s="10" t="str">
        <f>"ENSG00000257060.6"</f>
        <v>ENSG00000257060.6</v>
      </c>
      <c r="B1321" s="10">
        <v>2.3741453150645202</v>
      </c>
      <c r="C1321" s="10">
        <v>-0.138006026762718</v>
      </c>
      <c r="D1321" s="10">
        <v>11.4998325933131</v>
      </c>
      <c r="E1321" s="10">
        <v>9.3127020967322394E-3</v>
      </c>
      <c r="F1321" s="10" t="str">
        <f>"AC091078.1"</f>
        <v>AC091078.1</v>
      </c>
      <c r="G1321" s="10" t="str">
        <f>"lincRNA"</f>
        <v>lincRNA</v>
      </c>
      <c r="J1321" s="14"/>
    </row>
    <row r="1322" spans="1:10" x14ac:dyDescent="0.2">
      <c r="A1322" s="10" t="str">
        <f>"ENSG00000140563.15"</f>
        <v>ENSG00000140563.15</v>
      </c>
      <c r="B1322" s="10">
        <v>2.5656302323988398</v>
      </c>
      <c r="C1322" s="10">
        <v>0.87963502609256194</v>
      </c>
      <c r="D1322" s="10">
        <v>19.8670766206012</v>
      </c>
      <c r="E1322" s="10">
        <v>2.05513815756339E-3</v>
      </c>
      <c r="F1322" s="10" t="str">
        <f>"MCTP2"</f>
        <v>MCTP2</v>
      </c>
      <c r="G1322" s="10" t="str">
        <f>"protein_coding"</f>
        <v>protein_coding</v>
      </c>
      <c r="J1322" s="14"/>
    </row>
    <row r="1323" spans="1:10" x14ac:dyDescent="0.2">
      <c r="A1323" s="10" t="str">
        <f>"ENSG00000182253.14"</f>
        <v>ENSG00000182253.14</v>
      </c>
      <c r="B1323" s="10">
        <v>-1.1934141220196299</v>
      </c>
      <c r="C1323" s="10">
        <v>5.3973209995428597</v>
      </c>
      <c r="D1323" s="10">
        <v>11.119090207866201</v>
      </c>
      <c r="E1323" s="10">
        <v>1.01347040787159E-2</v>
      </c>
      <c r="F1323" s="10" t="str">
        <f>"SYNM"</f>
        <v>SYNM</v>
      </c>
      <c r="G1323" s="10" t="str">
        <f>"protein_coding"</f>
        <v>protein_coding</v>
      </c>
      <c r="J1323" s="14"/>
    </row>
    <row r="1324" spans="1:10" x14ac:dyDescent="0.2">
      <c r="A1324" s="10" t="str">
        <f>"ENSG00000140470.14"</f>
        <v>ENSG00000140470.14</v>
      </c>
      <c r="B1324" s="10">
        <v>-1.4540780291270701</v>
      </c>
      <c r="C1324" s="10">
        <v>1.1913999166788301</v>
      </c>
      <c r="D1324" s="10">
        <v>7.9765523568277104</v>
      </c>
      <c r="E1324" s="10">
        <v>2.2072408812157E-2</v>
      </c>
      <c r="F1324" s="10" t="str">
        <f>"ADAMTS17"</f>
        <v>ADAMTS17</v>
      </c>
      <c r="G1324" s="10" t="str">
        <f>"protein_coding"</f>
        <v>protein_coding</v>
      </c>
      <c r="J1324" s="14"/>
    </row>
    <row r="1325" spans="1:10" x14ac:dyDescent="0.2">
      <c r="A1325" s="10" t="str">
        <f>"ENSG00000184254.17"</f>
        <v>ENSG00000184254.17</v>
      </c>
      <c r="B1325" s="10">
        <v>-1.7260009899317801</v>
      </c>
      <c r="C1325" s="10">
        <v>2.32357735082243</v>
      </c>
      <c r="D1325" s="10">
        <v>7.9834180505032002</v>
      </c>
      <c r="E1325" s="10">
        <v>2.20308896726829E-2</v>
      </c>
      <c r="F1325" s="10" t="str">
        <f>"ALDH1A3"</f>
        <v>ALDH1A3</v>
      </c>
      <c r="G1325" s="10" t="str">
        <f>"protein_coding"</f>
        <v>protein_coding</v>
      </c>
      <c r="J1325" s="14"/>
    </row>
    <row r="1326" spans="1:10" x14ac:dyDescent="0.2">
      <c r="A1326" s="10" t="str">
        <f>"ENSG00000279970.1"</f>
        <v>ENSG00000279970.1</v>
      </c>
      <c r="B1326" s="10">
        <v>1.5482541920050099</v>
      </c>
      <c r="C1326" s="10">
        <v>0.16061702037971501</v>
      </c>
      <c r="D1326" s="10">
        <v>14.1758769523664</v>
      </c>
      <c r="E1326" s="10">
        <v>5.3518019219290702E-3</v>
      </c>
      <c r="F1326" s="10" t="str">
        <f>"AC023024.2"</f>
        <v>AC023024.2</v>
      </c>
      <c r="G1326" s="10" t="str">
        <f>"TEC"</f>
        <v>TEC</v>
      </c>
      <c r="J1326" s="14"/>
    </row>
    <row r="1327" spans="1:10" x14ac:dyDescent="0.2">
      <c r="A1327" s="10" t="str">
        <f>"ENSG00000282793.1"</f>
        <v>ENSG00000282793.1</v>
      </c>
      <c r="B1327" s="10">
        <v>1.28329357906108</v>
      </c>
      <c r="C1327" s="10">
        <v>0.108683043968914</v>
      </c>
      <c r="D1327" s="10">
        <v>6.1997752569919102</v>
      </c>
      <c r="E1327" s="10">
        <v>3.7180839883237199E-2</v>
      </c>
      <c r="F1327" s="10" t="str">
        <f>"AC090164.4"</f>
        <v>AC090164.4</v>
      </c>
      <c r="G1327" s="10" t="str">
        <f>"lincRNA"</f>
        <v>lincRNA</v>
      </c>
      <c r="J1327" s="14"/>
    </row>
    <row r="1328" spans="1:10" x14ac:dyDescent="0.2">
      <c r="A1328" s="10" t="str">
        <f>"ENSG00000185615.15"</f>
        <v>ENSG00000185615.15</v>
      </c>
      <c r="B1328" s="10">
        <v>1.87819224899918</v>
      </c>
      <c r="C1328" s="10">
        <v>0.78632826320298699</v>
      </c>
      <c r="D1328" s="10">
        <v>16.497805236939801</v>
      </c>
      <c r="E1328" s="10">
        <v>3.5321435859329399E-3</v>
      </c>
      <c r="F1328" s="10" t="str">
        <f>"PDIA2"</f>
        <v>PDIA2</v>
      </c>
      <c r="G1328" s="10" t="str">
        <f>"protein_coding"</f>
        <v>protein_coding</v>
      </c>
      <c r="J1328" s="14"/>
    </row>
    <row r="1329" spans="1:10" x14ac:dyDescent="0.2">
      <c r="A1329" s="10" t="str">
        <f>"ENSG00000127578.7"</f>
        <v>ENSG00000127578.7</v>
      </c>
      <c r="B1329" s="10">
        <v>-1.47054028656522</v>
      </c>
      <c r="C1329" s="10">
        <v>1.70844349688525</v>
      </c>
      <c r="D1329" s="10">
        <v>5.6526343818065801</v>
      </c>
      <c r="E1329" s="10">
        <v>4.43488272294386E-2</v>
      </c>
      <c r="F1329" s="10" t="str">
        <f>"WFIKKN1"</f>
        <v>WFIKKN1</v>
      </c>
      <c r="G1329" s="10" t="str">
        <f>"protein_coding"</f>
        <v>protein_coding</v>
      </c>
      <c r="J1329" s="14"/>
    </row>
    <row r="1330" spans="1:10" x14ac:dyDescent="0.2">
      <c r="A1330" s="10" t="str">
        <f>"ENSG00000127585.12"</f>
        <v>ENSG00000127585.12</v>
      </c>
      <c r="B1330" s="10">
        <v>1.0313077977954499</v>
      </c>
      <c r="C1330" s="10">
        <v>1.1097148177571201</v>
      </c>
      <c r="D1330" s="10">
        <v>11.5099411261504</v>
      </c>
      <c r="E1330" s="10">
        <v>9.0640601719183308E-3</v>
      </c>
      <c r="F1330" s="10" t="str">
        <f>"FBXL16"</f>
        <v>FBXL16</v>
      </c>
      <c r="G1330" s="10" t="str">
        <f>"protein_coding"</f>
        <v>protein_coding</v>
      </c>
      <c r="J1330" s="14"/>
    </row>
    <row r="1331" spans="1:10" x14ac:dyDescent="0.2">
      <c r="A1331" s="10" t="str">
        <f>"ENSG00000102854.16"</f>
        <v>ENSG00000102854.16</v>
      </c>
      <c r="B1331" s="10">
        <v>1.12204452385622</v>
      </c>
      <c r="C1331" s="10">
        <v>3.4830538000529798</v>
      </c>
      <c r="D1331" s="10">
        <v>17.642248297353401</v>
      </c>
      <c r="E1331" s="10">
        <v>2.9142485000787201E-3</v>
      </c>
      <c r="F1331" s="10" t="str">
        <f>"MSLN"</f>
        <v>MSLN</v>
      </c>
      <c r="G1331" s="10" t="str">
        <f>"protein_coding"</f>
        <v>protein_coding</v>
      </c>
      <c r="J1331" s="14"/>
    </row>
    <row r="1332" spans="1:10" x14ac:dyDescent="0.2">
      <c r="A1332" s="10" t="str">
        <f>"ENSG00000116176.6"</f>
        <v>ENSG00000116176.6</v>
      </c>
      <c r="B1332" s="10">
        <v>3.8949599936585599</v>
      </c>
      <c r="C1332" s="10">
        <v>-7.5863161609043397E-2</v>
      </c>
      <c r="D1332" s="10">
        <v>21.4340686963459</v>
      </c>
      <c r="E1332" s="10">
        <v>1.63465317930231E-3</v>
      </c>
      <c r="F1332" s="10" t="str">
        <f>"TPSG1"</f>
        <v>TPSG1</v>
      </c>
      <c r="G1332" s="10" t="str">
        <f>"protein_coding"</f>
        <v>protein_coding</v>
      </c>
      <c r="J1332" s="14"/>
    </row>
    <row r="1333" spans="1:10" x14ac:dyDescent="0.2">
      <c r="A1333" s="10" t="str">
        <f>"ENSG00000260051.1"</f>
        <v>ENSG00000260051.1</v>
      </c>
      <c r="B1333" s="10">
        <v>-1.0204071251000999</v>
      </c>
      <c r="C1333" s="10">
        <v>0.80224926944360397</v>
      </c>
      <c r="D1333" s="10">
        <v>8.0048796964056699</v>
      </c>
      <c r="E1333" s="10">
        <v>2.17964234630613E-2</v>
      </c>
      <c r="F1333" s="10" t="str">
        <f>"AL031600.1"</f>
        <v>AL031600.1</v>
      </c>
      <c r="G1333" s="10" t="str">
        <f>"antisense"</f>
        <v>antisense</v>
      </c>
      <c r="J1333" s="14"/>
    </row>
    <row r="1334" spans="1:10" x14ac:dyDescent="0.2">
      <c r="A1334" s="10" t="str">
        <f>"ENSG00000162040.6"</f>
        <v>ENSG00000162040.6</v>
      </c>
      <c r="B1334" s="10">
        <v>-2.2498426769193398</v>
      </c>
      <c r="C1334" s="10">
        <v>-0.83023892711384295</v>
      </c>
      <c r="D1334" s="10">
        <v>5.41510971225871</v>
      </c>
      <c r="E1334" s="10">
        <v>4.8005254144678801E-2</v>
      </c>
      <c r="F1334" s="10" t="str">
        <f>"HS3ST6"</f>
        <v>HS3ST6</v>
      </c>
      <c r="G1334" s="10" t="str">
        <f>"protein_coding"</f>
        <v>protein_coding</v>
      </c>
      <c r="J1334" s="14"/>
    </row>
    <row r="1335" spans="1:10" x14ac:dyDescent="0.2">
      <c r="A1335" s="10" t="str">
        <f>"ENSG00000183971.8"</f>
        <v>ENSG00000183971.8</v>
      </c>
      <c r="B1335" s="10">
        <v>-1.51280988830587</v>
      </c>
      <c r="C1335" s="10">
        <v>0.91559749629538001</v>
      </c>
      <c r="D1335" s="10">
        <v>11.7851155958323</v>
      </c>
      <c r="E1335" s="10">
        <v>8.7510226381369294E-3</v>
      </c>
      <c r="F1335" s="10" t="str">
        <f>"NPW"</f>
        <v>NPW</v>
      </c>
      <c r="G1335" s="10" t="str">
        <f>"protein_coding"</f>
        <v>protein_coding</v>
      </c>
      <c r="J1335" s="14"/>
    </row>
    <row r="1336" spans="1:10" x14ac:dyDescent="0.2">
      <c r="A1336" s="10" t="str">
        <f>"ENSG00000065057.8"</f>
        <v>ENSG00000065057.8</v>
      </c>
      <c r="B1336" s="10">
        <v>1.1089577952438301</v>
      </c>
      <c r="C1336" s="10">
        <v>2.8865333328109402</v>
      </c>
      <c r="D1336" s="10">
        <v>16.462883198346201</v>
      </c>
      <c r="E1336" s="10">
        <v>3.5534564451070302E-3</v>
      </c>
      <c r="F1336" s="10" t="str">
        <f>"NTHL1"</f>
        <v>NTHL1</v>
      </c>
      <c r="G1336" s="10" t="str">
        <f>"protein_coding"</f>
        <v>protein_coding</v>
      </c>
      <c r="J1336" s="14"/>
    </row>
    <row r="1337" spans="1:10" x14ac:dyDescent="0.2">
      <c r="A1337" s="10" t="str">
        <f>"ENSG00000260778.5"</f>
        <v>ENSG00000260778.5</v>
      </c>
      <c r="B1337" s="10">
        <v>-1.3494719219562199</v>
      </c>
      <c r="C1337" s="10">
        <v>1.1260411985663601</v>
      </c>
      <c r="D1337" s="10">
        <v>11.4147887352933</v>
      </c>
      <c r="E1337" s="10">
        <v>9.4888332054469202E-3</v>
      </c>
      <c r="F1337" s="10" t="str">
        <f>"AC009065.4"</f>
        <v>AC009065.4</v>
      </c>
      <c r="G1337" s="10" t="str">
        <f>"lincRNA"</f>
        <v>lincRNA</v>
      </c>
      <c r="J1337" s="14"/>
    </row>
    <row r="1338" spans="1:10" x14ac:dyDescent="0.2">
      <c r="A1338" s="10" t="str">
        <f>"ENSG00000162068.1"</f>
        <v>ENSG00000162068.1</v>
      </c>
      <c r="B1338" s="10">
        <v>-1.55220039852152</v>
      </c>
      <c r="C1338" s="10">
        <v>0.94306260290716803</v>
      </c>
      <c r="D1338" s="10">
        <v>5.6289376233556201</v>
      </c>
      <c r="E1338" s="10">
        <v>4.4697344202393803E-2</v>
      </c>
      <c r="F1338" s="10" t="str">
        <f>"NTN3"</f>
        <v>NTN3</v>
      </c>
      <c r="G1338" s="10" t="str">
        <f>"protein_coding"</f>
        <v>protein_coding</v>
      </c>
      <c r="J1338" s="14"/>
    </row>
    <row r="1339" spans="1:10" x14ac:dyDescent="0.2">
      <c r="A1339" s="10" t="str">
        <f>"ENSG00000260293.2"</f>
        <v>ENSG00000260293.2</v>
      </c>
      <c r="B1339" s="10">
        <v>-1.17590407880128</v>
      </c>
      <c r="C1339" s="10">
        <v>1.26043545499738</v>
      </c>
      <c r="D1339" s="10">
        <v>7.3809293007743504</v>
      </c>
      <c r="E1339" s="10">
        <v>2.6083242682514201E-2</v>
      </c>
      <c r="F1339" s="10" t="str">
        <f>"AC106820.4"</f>
        <v>AC106820.4</v>
      </c>
      <c r="G1339" s="10" t="str">
        <f>"sense_intronic"</f>
        <v>sense_intronic</v>
      </c>
      <c r="J1339" s="14"/>
    </row>
    <row r="1340" spans="1:10" x14ac:dyDescent="0.2">
      <c r="A1340" s="10" t="str">
        <f>"ENSG00000276791.1"</f>
        <v>ENSG00000276791.1</v>
      </c>
      <c r="B1340" s="10">
        <v>-1.1766963248850399</v>
      </c>
      <c r="C1340" s="10">
        <v>1.44602734058302</v>
      </c>
      <c r="D1340" s="10">
        <v>7.4872359552903296</v>
      </c>
      <c r="E1340" s="10">
        <v>2.5303786402226101E-2</v>
      </c>
      <c r="F1340" s="10" t="str">
        <f>"AC092117.1"</f>
        <v>AC092117.1</v>
      </c>
      <c r="G1340" s="10" t="str">
        <f>"lincRNA"</f>
        <v>lincRNA</v>
      </c>
      <c r="J1340" s="14"/>
    </row>
    <row r="1341" spans="1:10" x14ac:dyDescent="0.2">
      <c r="A1341" s="10" t="str">
        <f>"ENSG00000162078.11"</f>
        <v>ENSG00000162078.11</v>
      </c>
      <c r="B1341" s="10">
        <v>1.01401287243739</v>
      </c>
      <c r="C1341" s="10">
        <v>2.8729787710927202</v>
      </c>
      <c r="D1341" s="10">
        <v>10.7327890127864</v>
      </c>
      <c r="E1341" s="10">
        <v>1.10639123175906E-2</v>
      </c>
      <c r="F1341" s="10" t="str">
        <f>"ZG16B"</f>
        <v>ZG16B</v>
      </c>
      <c r="G1341" s="10" t="str">
        <f>"protein_coding"</f>
        <v>protein_coding</v>
      </c>
      <c r="J1341" s="14"/>
    </row>
    <row r="1342" spans="1:10" x14ac:dyDescent="0.2">
      <c r="A1342" s="10" t="str">
        <f>"ENSG00000172460.16"</f>
        <v>ENSG00000172460.16</v>
      </c>
      <c r="B1342" s="10">
        <v>-1.7258431106686101</v>
      </c>
      <c r="C1342" s="10">
        <v>1.3430577704906399</v>
      </c>
      <c r="D1342" s="10">
        <v>12.101998489975299</v>
      </c>
      <c r="E1342" s="10">
        <v>8.1759987056787501E-3</v>
      </c>
      <c r="F1342" s="10" t="str">
        <f>"PRSS30P"</f>
        <v>PRSS30P</v>
      </c>
      <c r="G1342" s="10" t="str">
        <f>"transcribed_unitary_pseudogene"</f>
        <v>transcribed_unitary_pseudogene</v>
      </c>
      <c r="J1342" s="14"/>
    </row>
    <row r="1343" spans="1:10" x14ac:dyDescent="0.2">
      <c r="A1343" s="10" t="str">
        <f>"ENSG00000131650.14"</f>
        <v>ENSG00000131650.14</v>
      </c>
      <c r="B1343" s="10">
        <v>-1.8984261867273999</v>
      </c>
      <c r="C1343" s="10">
        <v>3.8328183511293998</v>
      </c>
      <c r="D1343" s="10">
        <v>13.354805774419001</v>
      </c>
      <c r="E1343" s="10">
        <v>6.3178955703047301E-3</v>
      </c>
      <c r="F1343" s="10" t="str">
        <f>"KREMEN2"</f>
        <v>KREMEN2</v>
      </c>
      <c r="G1343" s="10" t="str">
        <f>"protein_coding"</f>
        <v>protein_coding</v>
      </c>
      <c r="J1343" s="14"/>
    </row>
    <row r="1344" spans="1:10" x14ac:dyDescent="0.2">
      <c r="A1344" s="10" t="str">
        <f>"ENSG00000274367.1"</f>
        <v>ENSG00000274367.1</v>
      </c>
      <c r="B1344" s="10">
        <v>-1.8532594998313601</v>
      </c>
      <c r="C1344" s="10">
        <v>-0.18147533942687499</v>
      </c>
      <c r="D1344" s="10">
        <v>17.014627522849299</v>
      </c>
      <c r="E1344" s="10">
        <v>3.1965998949989101E-3</v>
      </c>
      <c r="F1344" s="10" t="str">
        <f>"AC004233.4"</f>
        <v>AC004233.4</v>
      </c>
      <c r="G1344" s="10" t="str">
        <f>"lincRNA"</f>
        <v>lincRNA</v>
      </c>
      <c r="J1344" s="14"/>
    </row>
    <row r="1345" spans="1:10" x14ac:dyDescent="0.2">
      <c r="A1345" s="10" t="str">
        <f>"ENSG00000272079.2"</f>
        <v>ENSG00000272079.2</v>
      </c>
      <c r="B1345" s="10">
        <v>-1.0225099230883801</v>
      </c>
      <c r="C1345" s="10">
        <v>1.6380864432416</v>
      </c>
      <c r="D1345" s="10">
        <v>6.6311948457026597</v>
      </c>
      <c r="E1345" s="10">
        <v>3.2538473043305503E-2</v>
      </c>
      <c r="F1345" s="10" t="str">
        <f>"AC004233.3"</f>
        <v>AC004233.3</v>
      </c>
      <c r="G1345" s="10" t="str">
        <f>"lincRNA"</f>
        <v>lincRNA</v>
      </c>
      <c r="J1345" s="14"/>
    </row>
    <row r="1346" spans="1:10" x14ac:dyDescent="0.2">
      <c r="A1346" s="10" t="str">
        <f>"ENSG00000184697.7"</f>
        <v>ENSG00000184697.7</v>
      </c>
      <c r="B1346" s="10">
        <v>-1.7142742822056301</v>
      </c>
      <c r="C1346" s="10">
        <v>6.0143742389338097</v>
      </c>
      <c r="D1346" s="10">
        <v>41.028012760750798</v>
      </c>
      <c r="E1346" s="10">
        <v>1.9720452651107899E-4</v>
      </c>
      <c r="F1346" s="10" t="str">
        <f>"CLDN6"</f>
        <v>CLDN6</v>
      </c>
      <c r="G1346" s="10" t="str">
        <f>"protein_coding"</f>
        <v>protein_coding</v>
      </c>
      <c r="J1346" s="14"/>
    </row>
    <row r="1347" spans="1:10" x14ac:dyDescent="0.2">
      <c r="A1347" s="10" t="str">
        <f>"ENSG00000262370.5"</f>
        <v>ENSG00000262370.5</v>
      </c>
      <c r="B1347" s="10">
        <v>1.4466634095788999</v>
      </c>
      <c r="C1347" s="10">
        <v>0.23872473628500401</v>
      </c>
      <c r="D1347" s="10">
        <v>11.0895563142839</v>
      </c>
      <c r="E1347" s="10">
        <v>1.02022016575809E-2</v>
      </c>
      <c r="F1347" s="10" t="str">
        <f>"AC108134.3"</f>
        <v>AC108134.3</v>
      </c>
      <c r="G1347" s="10" t="str">
        <f>"lincRNA"</f>
        <v>lincRNA</v>
      </c>
      <c r="J1347" s="14"/>
    </row>
    <row r="1348" spans="1:10" x14ac:dyDescent="0.2">
      <c r="A1348" s="10" t="str">
        <f>"ENSG00000130182.8"</f>
        <v>ENSG00000130182.8</v>
      </c>
      <c r="B1348" s="10">
        <v>-2.5201072817013901</v>
      </c>
      <c r="C1348" s="10">
        <v>-0.14126789157433001</v>
      </c>
      <c r="D1348" s="10">
        <v>26.339275158821799</v>
      </c>
      <c r="E1348" s="10">
        <v>8.5995226193548305E-4</v>
      </c>
      <c r="F1348" s="10" t="str">
        <f>"ZSCAN10"</f>
        <v>ZSCAN10</v>
      </c>
      <c r="G1348" s="10" t="str">
        <f>"protein_coding"</f>
        <v>protein_coding</v>
      </c>
      <c r="J1348" s="14"/>
    </row>
    <row r="1349" spans="1:10" x14ac:dyDescent="0.2">
      <c r="A1349" s="10" t="str">
        <f>"ENSG00000126603.8"</f>
        <v>ENSG00000126603.8</v>
      </c>
      <c r="B1349" s="10">
        <v>-1.03865441530405</v>
      </c>
      <c r="C1349" s="10">
        <v>3.1825307481315299</v>
      </c>
      <c r="D1349" s="10">
        <v>8.8976609734755296</v>
      </c>
      <c r="E1349" s="10">
        <v>1.7280919510179599E-2</v>
      </c>
      <c r="F1349" s="10" t="str">
        <f>"GLIS2"</f>
        <v>GLIS2</v>
      </c>
      <c r="G1349" s="10" t="str">
        <f>"protein_coding"</f>
        <v>protein_coding</v>
      </c>
      <c r="J1349" s="14"/>
    </row>
    <row r="1350" spans="1:10" x14ac:dyDescent="0.2">
      <c r="A1350" s="10" t="str">
        <f>"ENSG00000168140.5"</f>
        <v>ENSG00000168140.5</v>
      </c>
      <c r="B1350" s="10">
        <v>-1.42650595786929</v>
      </c>
      <c r="C1350" s="10">
        <v>5.3631589513077902</v>
      </c>
      <c r="D1350" s="10">
        <v>25.131300948558</v>
      </c>
      <c r="E1350" s="10">
        <v>9.98036129439595E-4</v>
      </c>
      <c r="F1350" s="10" t="str">
        <f>"VASN"</f>
        <v>VASN</v>
      </c>
      <c r="G1350" s="10" t="str">
        <f>"protein_coding"</f>
        <v>protein_coding</v>
      </c>
      <c r="J1350" s="14"/>
    </row>
    <row r="1351" spans="1:10" x14ac:dyDescent="0.2">
      <c r="A1351" s="10" t="str">
        <f>"ENSG00000277170.1"</f>
        <v>ENSG00000277170.1</v>
      </c>
      <c r="B1351" s="10">
        <v>1.49741434704535</v>
      </c>
      <c r="C1351" s="10">
        <v>-1.1866332702857401</v>
      </c>
      <c r="D1351" s="10">
        <v>6.6398007256878602</v>
      </c>
      <c r="E1351" s="10">
        <v>3.2167231506700901E-2</v>
      </c>
      <c r="F1351" s="10" t="str">
        <f>"AC012676.3"</f>
        <v>AC012676.3</v>
      </c>
      <c r="G1351" s="10" t="str">
        <f>"sense_intronic"</f>
        <v>sense_intronic</v>
      </c>
      <c r="J1351" s="14"/>
    </row>
    <row r="1352" spans="1:10" x14ac:dyDescent="0.2">
      <c r="A1352" s="10" t="str">
        <f>"ENSG00000278434.1"</f>
        <v>ENSG00000278434.1</v>
      </c>
      <c r="B1352" s="10">
        <v>-1.48831538755493</v>
      </c>
      <c r="C1352" s="10">
        <v>-0.68773085590234195</v>
      </c>
      <c r="D1352" s="10">
        <v>5.5789138187702401</v>
      </c>
      <c r="E1352" s="10">
        <v>4.54445681764944E-2</v>
      </c>
      <c r="F1352" s="10" t="str">
        <f>"AC023830.3"</f>
        <v>AC023830.3</v>
      </c>
      <c r="G1352" s="10" t="str">
        <f>"sense_intronic"</f>
        <v>sense_intronic</v>
      </c>
      <c r="J1352" s="14"/>
    </row>
    <row r="1353" spans="1:10" x14ac:dyDescent="0.2">
      <c r="A1353" s="10" t="str">
        <f>"ENSG00000213853.10"</f>
        <v>ENSG00000213853.10</v>
      </c>
      <c r="B1353" s="10">
        <v>1.8164280633127201</v>
      </c>
      <c r="C1353" s="10">
        <v>4.2556954625466199</v>
      </c>
      <c r="D1353" s="10">
        <v>13.6215283464197</v>
      </c>
      <c r="E1353" s="10">
        <v>5.9930446862131101E-3</v>
      </c>
      <c r="F1353" s="10" t="str">
        <f>"EMP2"</f>
        <v>EMP2</v>
      </c>
      <c r="G1353" s="10" t="str">
        <f t="shared" ref="G1353:G1360" si="50">"protein_coding"</f>
        <v>protein_coding</v>
      </c>
      <c r="J1353" s="14"/>
    </row>
    <row r="1354" spans="1:10" x14ac:dyDescent="0.2">
      <c r="A1354" s="10" t="str">
        <f>"ENSG00000103489.11"</f>
        <v>ENSG00000103489.11</v>
      </c>
      <c r="B1354" s="10">
        <v>-2.3454290324677198</v>
      </c>
      <c r="C1354" s="10">
        <v>-0.28070139963760199</v>
      </c>
      <c r="D1354" s="10">
        <v>10.713680919540399</v>
      </c>
      <c r="E1354" s="10">
        <v>1.11125947339941E-2</v>
      </c>
      <c r="F1354" s="10" t="str">
        <f>"XYLT1"</f>
        <v>XYLT1</v>
      </c>
      <c r="G1354" s="10" t="str">
        <f t="shared" si="50"/>
        <v>protein_coding</v>
      </c>
      <c r="J1354" s="14"/>
    </row>
    <row r="1355" spans="1:10" x14ac:dyDescent="0.2">
      <c r="A1355" s="10" t="str">
        <f>"ENSG00000260342.2"</f>
        <v>ENSG00000260342.2</v>
      </c>
      <c r="B1355" s="10">
        <v>-2.1448686486611002</v>
      </c>
      <c r="C1355" s="10">
        <v>-1.5822906507083501</v>
      </c>
      <c r="D1355" s="10">
        <v>8.6632111210410994</v>
      </c>
      <c r="E1355" s="10">
        <v>1.8146310156139302E-2</v>
      </c>
      <c r="F1355" s="10" t="str">
        <f>"AC138811.2"</f>
        <v>AC138811.2</v>
      </c>
      <c r="G1355" s="10" t="str">
        <f t="shared" si="50"/>
        <v>protein_coding</v>
      </c>
      <c r="J1355" s="14"/>
    </row>
    <row r="1356" spans="1:10" x14ac:dyDescent="0.2">
      <c r="A1356" s="10" t="str">
        <f>"ENSG00000103528.17"</f>
        <v>ENSG00000103528.17</v>
      </c>
      <c r="B1356" s="10">
        <v>-1.0933219459336601</v>
      </c>
      <c r="C1356" s="10">
        <v>1.33280107162452</v>
      </c>
      <c r="D1356" s="10">
        <v>10.8737252597951</v>
      </c>
      <c r="E1356" s="10">
        <v>1.0631199576309E-2</v>
      </c>
      <c r="F1356" s="10" t="str">
        <f>"SYT17"</f>
        <v>SYT17</v>
      </c>
      <c r="G1356" s="10" t="str">
        <f t="shared" si="50"/>
        <v>protein_coding</v>
      </c>
      <c r="J1356" s="14"/>
    </row>
    <row r="1357" spans="1:10" x14ac:dyDescent="0.2">
      <c r="A1357" s="10" t="str">
        <f>"ENSG00000103534.17"</f>
        <v>ENSG00000103534.17</v>
      </c>
      <c r="B1357" s="10">
        <v>1.6843468567722</v>
      </c>
      <c r="C1357" s="10">
        <v>-0.48310932422205899</v>
      </c>
      <c r="D1357" s="10">
        <v>6.8376033116705504</v>
      </c>
      <c r="E1357" s="10">
        <v>3.0576940137225599E-2</v>
      </c>
      <c r="F1357" s="10" t="str">
        <f>"TMC5"</f>
        <v>TMC5</v>
      </c>
      <c r="G1357" s="10" t="str">
        <f t="shared" si="50"/>
        <v>protein_coding</v>
      </c>
      <c r="J1357" s="14"/>
    </row>
    <row r="1358" spans="1:10" x14ac:dyDescent="0.2">
      <c r="A1358" s="10" t="str">
        <f>"ENSG00000183549.10"</f>
        <v>ENSG00000183549.10</v>
      </c>
      <c r="B1358" s="10">
        <v>1.2051521813819499</v>
      </c>
      <c r="C1358" s="10">
        <v>1.8824189635019799</v>
      </c>
      <c r="D1358" s="10">
        <v>8.2585744264113607</v>
      </c>
      <c r="E1358" s="10">
        <v>2.0444968181989698E-2</v>
      </c>
      <c r="F1358" s="10" t="str">
        <f>"ACSM5"</f>
        <v>ACSM5</v>
      </c>
      <c r="G1358" s="10" t="str">
        <f t="shared" si="50"/>
        <v>protein_coding</v>
      </c>
      <c r="J1358" s="14"/>
    </row>
    <row r="1359" spans="1:10" x14ac:dyDescent="0.2">
      <c r="A1359" s="10" t="str">
        <f>"ENSG00000183747.12"</f>
        <v>ENSG00000183747.12</v>
      </c>
      <c r="B1359" s="10">
        <v>2.3833049896110201</v>
      </c>
      <c r="C1359" s="10">
        <v>0.14895930786255601</v>
      </c>
      <c r="D1359" s="10">
        <v>10.2039945926233</v>
      </c>
      <c r="E1359" s="10">
        <v>1.2516433256540701E-2</v>
      </c>
      <c r="F1359" s="10" t="str">
        <f>"ACSM2A"</f>
        <v>ACSM2A</v>
      </c>
      <c r="G1359" s="10" t="str">
        <f t="shared" si="50"/>
        <v>protein_coding</v>
      </c>
      <c r="J1359" s="14"/>
    </row>
    <row r="1360" spans="1:10" x14ac:dyDescent="0.2">
      <c r="A1360" s="10" t="str">
        <f>"ENSG00000066813.14"</f>
        <v>ENSG00000066813.14</v>
      </c>
      <c r="B1360" s="10">
        <v>2.3253399223772901</v>
      </c>
      <c r="C1360" s="10">
        <v>1.62654759975032</v>
      </c>
      <c r="D1360" s="10">
        <v>10.5312547890278</v>
      </c>
      <c r="E1360" s="10">
        <v>1.15911795553969E-2</v>
      </c>
      <c r="F1360" s="10" t="str">
        <f>"ACSM2B"</f>
        <v>ACSM2B</v>
      </c>
      <c r="G1360" s="10" t="str">
        <f t="shared" si="50"/>
        <v>protein_coding</v>
      </c>
      <c r="J1360" s="14"/>
    </row>
    <row r="1361" spans="1:10" x14ac:dyDescent="0.2">
      <c r="A1361" s="10" t="str">
        <f>"ENSG00000260762.1"</f>
        <v>ENSG00000260762.1</v>
      </c>
      <c r="B1361" s="10">
        <v>-2.8216991006077699</v>
      </c>
      <c r="C1361" s="10">
        <v>-1.7953241129069</v>
      </c>
      <c r="D1361" s="10">
        <v>7.4227582649111001</v>
      </c>
      <c r="E1361" s="10">
        <v>2.57729796260802E-2</v>
      </c>
      <c r="F1361" s="10" t="str">
        <f>"ACSM5P1"</f>
        <v>ACSM5P1</v>
      </c>
      <c r="G1361" s="10" t="str">
        <f>"unprocessed_pseudogene"</f>
        <v>unprocessed_pseudogene</v>
      </c>
      <c r="J1361" s="14"/>
    </row>
    <row r="1362" spans="1:10" x14ac:dyDescent="0.2">
      <c r="A1362" s="10" t="str">
        <f>"ENSG00000175311.7"</f>
        <v>ENSG00000175311.7</v>
      </c>
      <c r="B1362" s="10">
        <v>1.78179672599122</v>
      </c>
      <c r="C1362" s="10">
        <v>3.9674272875115002</v>
      </c>
      <c r="D1362" s="10">
        <v>32.625574810898797</v>
      </c>
      <c r="E1362" s="10">
        <v>4.2838258847407702E-4</v>
      </c>
      <c r="F1362" s="10" t="str">
        <f>"ANKS4B"</f>
        <v>ANKS4B</v>
      </c>
      <c r="G1362" s="10" t="str">
        <f>"protein_coding"</f>
        <v>protein_coding</v>
      </c>
      <c r="J1362" s="14"/>
    </row>
    <row r="1363" spans="1:10" x14ac:dyDescent="0.2">
      <c r="A1363" s="10" t="str">
        <f>"ENSG00000265462.1"</f>
        <v>ENSG00000265462.1</v>
      </c>
      <c r="B1363" s="10">
        <v>-1.84291268429681</v>
      </c>
      <c r="C1363" s="10">
        <v>-1.75492209280756</v>
      </c>
      <c r="D1363" s="10">
        <v>6.6987916745751201</v>
      </c>
      <c r="E1363" s="10">
        <v>3.1444258447688E-2</v>
      </c>
      <c r="F1363" s="10" t="str">
        <f>"MIR3680-1"</f>
        <v>MIR3680-1</v>
      </c>
      <c r="G1363" s="10" t="str">
        <f>"miRNA"</f>
        <v>miRNA</v>
      </c>
      <c r="J1363" s="14"/>
    </row>
    <row r="1364" spans="1:10" x14ac:dyDescent="0.2">
      <c r="A1364" s="10" t="str">
        <f>"ENSG00000257838.5"</f>
        <v>ENSG00000257838.5</v>
      </c>
      <c r="B1364" s="10">
        <v>-1.1640935409230999</v>
      </c>
      <c r="C1364" s="10">
        <v>4.7702512960173697</v>
      </c>
      <c r="D1364" s="10">
        <v>8.9338144161271096</v>
      </c>
      <c r="E1364" s="10">
        <v>1.7121011086455001E-2</v>
      </c>
      <c r="F1364" s="10" t="str">
        <f>"OTOAP1"</f>
        <v>OTOAP1</v>
      </c>
      <c r="G1364" s="10" t="str">
        <f>"transcribed_unprocessed_pseudogene"</f>
        <v>transcribed_unprocessed_pseudogene</v>
      </c>
      <c r="J1364" s="14"/>
    </row>
    <row r="1365" spans="1:10" x14ac:dyDescent="0.2">
      <c r="A1365" s="10" t="str">
        <f>"ENSG00000261266.2"</f>
        <v>ENSG00000261266.2</v>
      </c>
      <c r="B1365" s="10">
        <v>-3.3119523892454099</v>
      </c>
      <c r="C1365" s="10">
        <v>-1.9978024322410499</v>
      </c>
      <c r="D1365" s="10">
        <v>6.9143320460278996</v>
      </c>
      <c r="E1365" s="10">
        <v>2.9886028031415001E-2</v>
      </c>
      <c r="F1365" s="10" t="str">
        <f>"AC008870.3"</f>
        <v>AC008870.3</v>
      </c>
      <c r="G1365" s="10" t="str">
        <f>"antisense"</f>
        <v>antisense</v>
      </c>
      <c r="J1365" s="14"/>
    </row>
    <row r="1366" spans="1:10" x14ac:dyDescent="0.2">
      <c r="A1366" s="10" t="str">
        <f>"ENSG00000158865.12"</f>
        <v>ENSG00000158865.12</v>
      </c>
      <c r="B1366" s="10">
        <v>2.82368442973649</v>
      </c>
      <c r="C1366" s="10">
        <v>1.34829977366353</v>
      </c>
      <c r="D1366" s="10">
        <v>34.001296895061401</v>
      </c>
      <c r="E1366" s="10">
        <v>3.7328606048741999E-4</v>
      </c>
      <c r="F1366" s="10" t="str">
        <f>"SLC5A11"</f>
        <v>SLC5A11</v>
      </c>
      <c r="G1366" s="10" t="str">
        <f>"protein_coding"</f>
        <v>protein_coding</v>
      </c>
      <c r="J1366" s="14"/>
    </row>
    <row r="1367" spans="1:10" x14ac:dyDescent="0.2">
      <c r="A1367" s="10" t="str">
        <f>"ENSG00000182601.7"</f>
        <v>ENSG00000182601.7</v>
      </c>
      <c r="B1367" s="10">
        <v>-2.4288674719960301</v>
      </c>
      <c r="C1367" s="10">
        <v>-1.0114155183973399</v>
      </c>
      <c r="D1367" s="10">
        <v>7.9672866506709497</v>
      </c>
      <c r="E1367" s="10">
        <v>2.21285981004728E-2</v>
      </c>
      <c r="F1367" s="10" t="str">
        <f>"HS3ST4"</f>
        <v>HS3ST4</v>
      </c>
      <c r="G1367" s="10" t="str">
        <f>"protein_coding"</f>
        <v>protein_coding</v>
      </c>
      <c r="J1367" s="14"/>
    </row>
    <row r="1368" spans="1:10" x14ac:dyDescent="0.2">
      <c r="A1368" s="10" t="str">
        <f>"ENSG00000103522.16"</f>
        <v>ENSG00000103522.16</v>
      </c>
      <c r="B1368" s="10">
        <v>-1.5263828422646799</v>
      </c>
      <c r="C1368" s="10">
        <v>-0.44174399883967402</v>
      </c>
      <c r="D1368" s="10">
        <v>5.7329328322554298</v>
      </c>
      <c r="E1368" s="10">
        <v>4.3193223323625303E-2</v>
      </c>
      <c r="F1368" s="10" t="str">
        <f>"IL21R"</f>
        <v>IL21R</v>
      </c>
      <c r="G1368" s="10" t="str">
        <f>"protein_coding"</f>
        <v>protein_coding</v>
      </c>
      <c r="J1368" s="14"/>
    </row>
    <row r="1369" spans="1:10" x14ac:dyDescent="0.2">
      <c r="A1369" s="10" t="str">
        <f>"ENSG00000250982.2"</f>
        <v>ENSG00000250982.2</v>
      </c>
      <c r="B1369" s="10">
        <v>-3.2528464109530799</v>
      </c>
      <c r="C1369" s="10">
        <v>-2.04298894143944</v>
      </c>
      <c r="D1369" s="10">
        <v>8.7644622030194199</v>
      </c>
      <c r="E1369" s="10">
        <v>1.7886525095053601E-2</v>
      </c>
      <c r="F1369" s="10" t="str">
        <f>"GAPDHP35"</f>
        <v>GAPDHP35</v>
      </c>
      <c r="G1369" s="10" t="str">
        <f>"processed_pseudogene"</f>
        <v>processed_pseudogene</v>
      </c>
      <c r="J1369" s="14"/>
    </row>
    <row r="1370" spans="1:10" x14ac:dyDescent="0.2">
      <c r="A1370" s="10" t="str">
        <f>"ENSG00000188322.5"</f>
        <v>ENSG00000188322.5</v>
      </c>
      <c r="B1370" s="10">
        <v>-1.3421052525574</v>
      </c>
      <c r="C1370" s="10">
        <v>3.7126471472845002</v>
      </c>
      <c r="D1370" s="10">
        <v>5.4650755291528004</v>
      </c>
      <c r="E1370" s="10">
        <v>4.7205132352663597E-2</v>
      </c>
      <c r="F1370" s="10" t="str">
        <f>"SBK1"</f>
        <v>SBK1</v>
      </c>
      <c r="G1370" s="10" t="str">
        <f>"protein_coding"</f>
        <v>protein_coding</v>
      </c>
      <c r="J1370" s="14"/>
    </row>
    <row r="1371" spans="1:10" x14ac:dyDescent="0.2">
      <c r="A1371" s="10" t="str">
        <f>"ENSG00000198156.10"</f>
        <v>ENSG00000198156.10</v>
      </c>
      <c r="B1371" s="10">
        <v>-1.14696847927926</v>
      </c>
      <c r="C1371" s="10">
        <v>-0.58108599338155797</v>
      </c>
      <c r="D1371" s="10">
        <v>6.3919595167760797</v>
      </c>
      <c r="E1371" s="10">
        <v>3.4563323770718898E-2</v>
      </c>
      <c r="F1371" s="10" t="str">
        <f>"NPIPB6"</f>
        <v>NPIPB6</v>
      </c>
      <c r="G1371" s="10" t="str">
        <f>"protein_coding"</f>
        <v>protein_coding</v>
      </c>
      <c r="J1371" s="14"/>
    </row>
    <row r="1372" spans="1:10" x14ac:dyDescent="0.2">
      <c r="A1372" s="10" t="str">
        <f>"ENSG00000184730.11"</f>
        <v>ENSG00000184730.11</v>
      </c>
      <c r="B1372" s="10">
        <v>-1.39462300295915</v>
      </c>
      <c r="C1372" s="10">
        <v>1.20974818176107</v>
      </c>
      <c r="D1372" s="10">
        <v>6.2448154749334597</v>
      </c>
      <c r="E1372" s="10">
        <v>3.6658525098161199E-2</v>
      </c>
      <c r="F1372" s="10" t="str">
        <f>"APOBR"</f>
        <v>APOBR</v>
      </c>
      <c r="G1372" s="10" t="str">
        <f>"protein_coding"</f>
        <v>protein_coding</v>
      </c>
      <c r="J1372" s="14"/>
    </row>
    <row r="1373" spans="1:10" x14ac:dyDescent="0.2">
      <c r="A1373" s="10" t="str">
        <f>"ENSG00000275441.1"</f>
        <v>ENSG00000275441.1</v>
      </c>
      <c r="B1373" s="10">
        <v>-2.0136220992317102</v>
      </c>
      <c r="C1373" s="10">
        <v>-0.97296988442994203</v>
      </c>
      <c r="D1373" s="10">
        <v>12.268237416193699</v>
      </c>
      <c r="E1373" s="10">
        <v>7.8104960476901297E-3</v>
      </c>
      <c r="F1373" s="10" t="str">
        <f>"AC020765.2"</f>
        <v>AC020765.2</v>
      </c>
      <c r="G1373" s="10" t="str">
        <f>"antisense"</f>
        <v>antisense</v>
      </c>
      <c r="J1373" s="14"/>
    </row>
    <row r="1374" spans="1:10" x14ac:dyDescent="0.2">
      <c r="A1374" s="10" t="str">
        <f>"ENSG00000197471.12"</f>
        <v>ENSG00000197471.12</v>
      </c>
      <c r="B1374" s="10">
        <v>-1.8399112040627199</v>
      </c>
      <c r="C1374" s="10">
        <v>3.9721079247325699</v>
      </c>
      <c r="D1374" s="10">
        <v>18.101932019596699</v>
      </c>
      <c r="E1374" s="10">
        <v>2.7044708316610599E-3</v>
      </c>
      <c r="F1374" s="10" t="str">
        <f>"SPN"</f>
        <v>SPN</v>
      </c>
      <c r="G1374" s="10" t="str">
        <f>"protein_coding"</f>
        <v>protein_coding</v>
      </c>
      <c r="J1374" s="14"/>
    </row>
    <row r="1375" spans="1:10" x14ac:dyDescent="0.2">
      <c r="A1375" s="10" t="str">
        <f>"ENSG00000197162.9"</f>
        <v>ENSG00000197162.9</v>
      </c>
      <c r="B1375" s="10">
        <v>-1.2931551001600701</v>
      </c>
      <c r="C1375" s="10">
        <v>-9.3310432264372106E-2</v>
      </c>
      <c r="D1375" s="10">
        <v>9.5108439728359304</v>
      </c>
      <c r="E1375" s="10">
        <v>1.46710014556839E-2</v>
      </c>
      <c r="F1375" s="10" t="str">
        <f>"ZNF785"</f>
        <v>ZNF785</v>
      </c>
      <c r="G1375" s="10" t="str">
        <f>"protein_coding"</f>
        <v>protein_coding</v>
      </c>
      <c r="J1375" s="14"/>
    </row>
    <row r="1376" spans="1:10" x14ac:dyDescent="0.2">
      <c r="A1376" s="10" t="str">
        <f>"ENSG00000279196.1"</f>
        <v>ENSG00000279196.1</v>
      </c>
      <c r="B1376" s="10">
        <v>-1.35731020571108</v>
      </c>
      <c r="C1376" s="10">
        <v>-0.82697863866825505</v>
      </c>
      <c r="D1376" s="10">
        <v>7.0018509237224196</v>
      </c>
      <c r="E1376" s="10">
        <v>2.8848767107835901E-2</v>
      </c>
      <c r="F1376" s="10" t="str">
        <f>"AC135048.4"</f>
        <v>AC135048.4</v>
      </c>
      <c r="G1376" s="10" t="str">
        <f>"TEC"</f>
        <v>TEC</v>
      </c>
      <c r="J1376" s="14"/>
    </row>
    <row r="1377" spans="1:10" x14ac:dyDescent="0.2">
      <c r="A1377" s="10" t="str">
        <f>"ENSG00000156886.11"</f>
        <v>ENSG00000156886.11</v>
      </c>
      <c r="B1377" s="10">
        <v>2.8360844422875999</v>
      </c>
      <c r="C1377" s="10">
        <v>-1.91593754387772</v>
      </c>
      <c r="D1377" s="10">
        <v>10.689919858587601</v>
      </c>
      <c r="E1377" s="10">
        <v>1.10108453960687E-2</v>
      </c>
      <c r="F1377" s="10" t="str">
        <f>"ITGAD"</f>
        <v>ITGAD</v>
      </c>
      <c r="G1377" s="10" t="str">
        <f>"protein_coding"</f>
        <v>protein_coding</v>
      </c>
      <c r="J1377" s="14"/>
    </row>
    <row r="1378" spans="1:10" x14ac:dyDescent="0.2">
      <c r="A1378" s="10" t="str">
        <f>"ENSG00000260628.5"</f>
        <v>ENSG00000260628.5</v>
      </c>
      <c r="B1378" s="10">
        <v>-1.6686892773405999</v>
      </c>
      <c r="C1378" s="10">
        <v>0.41123789474074302</v>
      </c>
      <c r="D1378" s="10">
        <v>9.0816764064267606</v>
      </c>
      <c r="E1378" s="10">
        <v>1.6486060987158501E-2</v>
      </c>
      <c r="F1378" s="10" t="str">
        <f>"AC142381.3"</f>
        <v>AC142381.3</v>
      </c>
      <c r="G1378" s="10" t="str">
        <f>"transcribed_unprocessed_pseudogene"</f>
        <v>transcribed_unprocessed_pseudogene</v>
      </c>
      <c r="J1378" s="14"/>
    </row>
    <row r="1379" spans="1:10" x14ac:dyDescent="0.2">
      <c r="A1379" s="10" t="str">
        <f>"ENSG00000261727.2"</f>
        <v>ENSG00000261727.2</v>
      </c>
      <c r="B1379" s="10">
        <v>-3.0370237406304499</v>
      </c>
      <c r="C1379" s="10">
        <v>-2.1568281497630601</v>
      </c>
      <c r="D1379" s="10">
        <v>8.5347203196310009</v>
      </c>
      <c r="E1379" s="10">
        <v>1.88591698838293E-2</v>
      </c>
      <c r="F1379" s="10" t="str">
        <f>"AC142381.4"</f>
        <v>AC142381.4</v>
      </c>
      <c r="G1379" s="10" t="str">
        <f>"transcribed_processed_pseudogene"</f>
        <v>transcribed_processed_pseudogene</v>
      </c>
      <c r="J1379" s="14"/>
    </row>
    <row r="1380" spans="1:10" x14ac:dyDescent="0.2">
      <c r="A1380" s="10" t="str">
        <f>"ENSG00000259882.2"</f>
        <v>ENSG00000259882.2</v>
      </c>
      <c r="B1380" s="10">
        <v>-1.76483614203568</v>
      </c>
      <c r="C1380" s="10">
        <v>-0.78728918626161803</v>
      </c>
      <c r="D1380" s="10">
        <v>9.5878454698546598</v>
      </c>
      <c r="E1380" s="10">
        <v>1.4524842178839001E-2</v>
      </c>
      <c r="F1380" s="10" t="str">
        <f>"AC142384.1"</f>
        <v>AC142384.1</v>
      </c>
      <c r="G1380" s="10" t="str">
        <f>"unprocessed_pseudogene"</f>
        <v>unprocessed_pseudogene</v>
      </c>
      <c r="J1380" s="14"/>
    </row>
    <row r="1381" spans="1:10" x14ac:dyDescent="0.2">
      <c r="A1381" s="10" t="str">
        <f>"ENSG00000261580.1"</f>
        <v>ENSG00000261580.1</v>
      </c>
      <c r="B1381" s="10">
        <v>-1.5359949956408001</v>
      </c>
      <c r="C1381" s="10">
        <v>0.42447381658834898</v>
      </c>
      <c r="D1381" s="10">
        <v>14.163842759855401</v>
      </c>
      <c r="E1381" s="10">
        <v>5.3945521952247499E-3</v>
      </c>
      <c r="F1381" s="10" t="str">
        <f>"ENPP7P13"</f>
        <v>ENPP7P13</v>
      </c>
      <c r="G1381" s="10" t="str">
        <f>"processed_pseudogene"</f>
        <v>processed_pseudogene</v>
      </c>
      <c r="J1381" s="14"/>
    </row>
    <row r="1382" spans="1:10" x14ac:dyDescent="0.2">
      <c r="A1382" s="10" t="str">
        <f>"ENSG00000260308.1"</f>
        <v>ENSG00000260308.1</v>
      </c>
      <c r="B1382" s="10">
        <v>-2.8207878036372902</v>
      </c>
      <c r="C1382" s="10">
        <v>-1.8038982331998801</v>
      </c>
      <c r="D1382" s="10">
        <v>8.3210871571882503</v>
      </c>
      <c r="E1382" s="10">
        <v>2.0104906745735299E-2</v>
      </c>
      <c r="F1382" s="10" t="str">
        <f>"AC136428.2"</f>
        <v>AC136428.2</v>
      </c>
      <c r="G1382" s="10" t="str">
        <f>"processed_pseudogene"</f>
        <v>processed_pseudogene</v>
      </c>
      <c r="J1382" s="14"/>
    </row>
    <row r="1383" spans="1:10" x14ac:dyDescent="0.2">
      <c r="A1383" s="10" t="str">
        <f>"ENSG00000260781.1"</f>
        <v>ENSG00000260781.1</v>
      </c>
      <c r="B1383" s="10">
        <v>-2.1477186089136202</v>
      </c>
      <c r="C1383" s="10">
        <v>-0.75725181742694603</v>
      </c>
      <c r="D1383" s="10">
        <v>10.720296517481</v>
      </c>
      <c r="E1383" s="10">
        <v>1.10957095566919E-2</v>
      </c>
      <c r="F1383" s="10" t="str">
        <f>"ARHGAP23P1"</f>
        <v>ARHGAP23P1</v>
      </c>
      <c r="G1383" s="10" t="str">
        <f>"transcribed_unprocessed_pseudogene"</f>
        <v>transcribed_unprocessed_pseudogene</v>
      </c>
      <c r="J1383" s="14"/>
    </row>
    <row r="1384" spans="1:10" x14ac:dyDescent="0.2">
      <c r="A1384" s="10" t="str">
        <f>"ENSG00000261173.1"</f>
        <v>ENSG00000261173.1</v>
      </c>
      <c r="B1384" s="10">
        <v>-1.0945709031502</v>
      </c>
      <c r="C1384" s="10">
        <v>-0.54756865156318901</v>
      </c>
      <c r="D1384" s="10">
        <v>5.3747934328577696</v>
      </c>
      <c r="E1384" s="10">
        <v>4.8464973036374599E-2</v>
      </c>
      <c r="F1384" s="10" t="str">
        <f>"AC018845.3"</f>
        <v>AC018845.3</v>
      </c>
      <c r="G1384" s="10" t="str">
        <f>"antisense"</f>
        <v>antisense</v>
      </c>
      <c r="J1384" s="14"/>
    </row>
    <row r="1385" spans="1:10" x14ac:dyDescent="0.2">
      <c r="A1385" s="10" t="str">
        <f>"ENSG00000102893.16"</f>
        <v>ENSG00000102893.16</v>
      </c>
      <c r="B1385" s="10">
        <v>1.26920248411562</v>
      </c>
      <c r="C1385" s="10">
        <v>6.8292144541568804</v>
      </c>
      <c r="D1385" s="10">
        <v>21.32995073607</v>
      </c>
      <c r="E1385" s="10">
        <v>1.6590448536810301E-3</v>
      </c>
      <c r="F1385" s="10" t="str">
        <f>"PHKB"</f>
        <v>PHKB</v>
      </c>
      <c r="G1385" s="10" t="str">
        <f>"protein_coding"</f>
        <v>protein_coding</v>
      </c>
      <c r="J1385" s="14"/>
    </row>
    <row r="1386" spans="1:10" x14ac:dyDescent="0.2">
      <c r="A1386" s="10" t="str">
        <f>"ENSG00000102935.11"</f>
        <v>ENSG00000102935.11</v>
      </c>
      <c r="B1386" s="10">
        <v>-1.21276388430792</v>
      </c>
      <c r="C1386" s="10">
        <v>3.0279159906033599</v>
      </c>
      <c r="D1386" s="10">
        <v>9.0425231196353106</v>
      </c>
      <c r="E1386" s="10">
        <v>1.66512688924648E-2</v>
      </c>
      <c r="F1386" s="10" t="str">
        <f>"ZNF423"</f>
        <v>ZNF423</v>
      </c>
      <c r="G1386" s="10" t="str">
        <f>"protein_coding"</f>
        <v>protein_coding</v>
      </c>
      <c r="J1386" s="14"/>
    </row>
    <row r="1387" spans="1:10" x14ac:dyDescent="0.2">
      <c r="A1387" s="10" t="str">
        <f>"ENSG00000275155.1"</f>
        <v>ENSG00000275155.1</v>
      </c>
      <c r="B1387" s="10">
        <v>-2.80402509971112</v>
      </c>
      <c r="C1387" s="10">
        <v>-1.80544005654161</v>
      </c>
      <c r="D1387" s="10">
        <v>8.8677525049185402</v>
      </c>
      <c r="E1387" s="10">
        <v>1.7414628430810101E-2</v>
      </c>
      <c r="F1387" s="10" t="str">
        <f>"AC027348.1"</f>
        <v>AC027348.1</v>
      </c>
      <c r="G1387" s="10" t="str">
        <f>"sense_intronic"</f>
        <v>sense_intronic</v>
      </c>
      <c r="J1387" s="14"/>
    </row>
    <row r="1388" spans="1:10" x14ac:dyDescent="0.2">
      <c r="A1388" s="10" t="str">
        <f>"ENSG00000260249.2"</f>
        <v>ENSG00000260249.2</v>
      </c>
      <c r="B1388" s="10">
        <v>-2.2300247658485501</v>
      </c>
      <c r="C1388" s="10">
        <v>-0.98976354593334703</v>
      </c>
      <c r="D1388" s="10">
        <v>5.3074009143891097</v>
      </c>
      <c r="E1388" s="10">
        <v>4.9789607427472002E-2</v>
      </c>
      <c r="F1388" s="10" t="str">
        <f>"AC007608.3"</f>
        <v>AC007608.3</v>
      </c>
      <c r="G1388" s="10" t="str">
        <f>"antisense"</f>
        <v>antisense</v>
      </c>
      <c r="J1388" s="14"/>
    </row>
    <row r="1389" spans="1:10" x14ac:dyDescent="0.2">
      <c r="A1389" s="10" t="str">
        <f>"ENSG00000260963.1"</f>
        <v>ENSG00000260963.1</v>
      </c>
      <c r="B1389" s="10">
        <v>2.3962804755334499</v>
      </c>
      <c r="C1389" s="10">
        <v>0.31570657246089401</v>
      </c>
      <c r="D1389" s="10">
        <v>10.364073814877599</v>
      </c>
      <c r="E1389" s="10">
        <v>1.20526974138832E-2</v>
      </c>
      <c r="F1389" s="10" t="str">
        <f>"AC026462.3"</f>
        <v>AC026462.3</v>
      </c>
      <c r="G1389" s="10" t="str">
        <f>"lincRNA"</f>
        <v>lincRNA</v>
      </c>
      <c r="J1389" s="14"/>
    </row>
    <row r="1390" spans="1:10" x14ac:dyDescent="0.2">
      <c r="A1390" s="10" t="str">
        <f>"ENSG00000087245.13"</f>
        <v>ENSG00000087245.13</v>
      </c>
      <c r="B1390" s="10">
        <v>-2.0286550892455799</v>
      </c>
      <c r="C1390" s="10">
        <v>4.5756631923470499</v>
      </c>
      <c r="D1390" s="10">
        <v>41.191195346082303</v>
      </c>
      <c r="E1390" s="10">
        <v>1.94524382603819E-4</v>
      </c>
      <c r="F1390" s="10" t="str">
        <f>"MMP2"</f>
        <v>MMP2</v>
      </c>
      <c r="G1390" s="10" t="str">
        <f>"protein_coding"</f>
        <v>protein_coding</v>
      </c>
      <c r="J1390" s="14"/>
    </row>
    <row r="1391" spans="1:10" x14ac:dyDescent="0.2">
      <c r="A1391" s="10" t="str">
        <f>"ENSG00000103546.18"</f>
        <v>ENSG00000103546.18</v>
      </c>
      <c r="B1391" s="10">
        <v>-2.5629323702640399</v>
      </c>
      <c r="C1391" s="10">
        <v>1.7910514179739201</v>
      </c>
      <c r="D1391" s="10">
        <v>34.4262179609238</v>
      </c>
      <c r="E1391" s="10">
        <v>3.5807942069316501E-4</v>
      </c>
      <c r="F1391" s="10" t="str">
        <f>"SLC6A2"</f>
        <v>SLC6A2</v>
      </c>
      <c r="G1391" s="10" t="str">
        <f>"protein_coding"</f>
        <v>protein_coding</v>
      </c>
      <c r="J1391" s="14"/>
    </row>
    <row r="1392" spans="1:10" x14ac:dyDescent="0.2">
      <c r="A1392" s="10" t="str">
        <f>"ENSG00000278928.1"</f>
        <v>ENSG00000278928.1</v>
      </c>
      <c r="B1392" s="10">
        <v>-2.71248694159125</v>
      </c>
      <c r="C1392" s="10">
        <v>-0.62880112161923896</v>
      </c>
      <c r="D1392" s="10">
        <v>24.233217759741599</v>
      </c>
      <c r="E1392" s="10">
        <v>1.10543097453524E-3</v>
      </c>
      <c r="F1392" s="10" t="str">
        <f>"AC136621.1"</f>
        <v>AC136621.1</v>
      </c>
      <c r="G1392" s="10" t="str">
        <f>"TEC"</f>
        <v>TEC</v>
      </c>
      <c r="J1392" s="14"/>
    </row>
    <row r="1393" spans="1:10" x14ac:dyDescent="0.2">
      <c r="A1393" s="10" t="str">
        <f>"ENSG00000228695.10"</f>
        <v>ENSG00000228695.10</v>
      </c>
      <c r="B1393" s="10">
        <v>-1.9493125824184501</v>
      </c>
      <c r="C1393" s="10">
        <v>4.5704559387336996</v>
      </c>
      <c r="D1393" s="10">
        <v>29.813194043951398</v>
      </c>
      <c r="E1393" s="10">
        <v>5.7650827421257505E-4</v>
      </c>
      <c r="F1393" s="10" t="str">
        <f>"CES1P1"</f>
        <v>CES1P1</v>
      </c>
      <c r="G1393" s="10" t="str">
        <f>"transcribed_unprocessed_pseudogene"</f>
        <v>transcribed_unprocessed_pseudogene</v>
      </c>
      <c r="J1393" s="14"/>
    </row>
    <row r="1394" spans="1:10" x14ac:dyDescent="0.2">
      <c r="A1394" s="10" t="str">
        <f>"ENSG00000198848.12"</f>
        <v>ENSG00000198848.12</v>
      </c>
      <c r="B1394" s="10">
        <v>-2.1722878642205701</v>
      </c>
      <c r="C1394" s="10">
        <v>9.2030495893067403</v>
      </c>
      <c r="D1394" s="10">
        <v>42.4832974859861</v>
      </c>
      <c r="E1394" s="10">
        <v>1.7482981633550499E-4</v>
      </c>
      <c r="F1394" s="10" t="str">
        <f>"CES1"</f>
        <v>CES1</v>
      </c>
      <c r="G1394" s="10" t="str">
        <f t="shared" ref="G1394:G1399" si="51">"protein_coding"</f>
        <v>protein_coding</v>
      </c>
      <c r="J1394" s="14"/>
    </row>
    <row r="1395" spans="1:10" x14ac:dyDescent="0.2">
      <c r="A1395" s="10" t="str">
        <f>"ENSG00000125148.7"</f>
        <v>ENSG00000125148.7</v>
      </c>
      <c r="B1395" s="10">
        <v>1.3746944636331799</v>
      </c>
      <c r="C1395" s="10">
        <v>7.36472337672968</v>
      </c>
      <c r="D1395" s="10">
        <v>40.9458984311688</v>
      </c>
      <c r="E1395" s="10">
        <v>1.8465527598834799E-4</v>
      </c>
      <c r="F1395" s="10" t="str">
        <f>"MT2A"</f>
        <v>MT2A</v>
      </c>
      <c r="G1395" s="10" t="str">
        <f t="shared" si="51"/>
        <v>protein_coding</v>
      </c>
      <c r="J1395" s="14"/>
    </row>
    <row r="1396" spans="1:10" x14ac:dyDescent="0.2">
      <c r="A1396" s="10" t="str">
        <f>"ENSG00000169715.14"</f>
        <v>ENSG00000169715.14</v>
      </c>
      <c r="B1396" s="10">
        <v>1.3344194812544301</v>
      </c>
      <c r="C1396" s="10">
        <v>4.0526387212194699</v>
      </c>
      <c r="D1396" s="10">
        <v>11.648487995823499</v>
      </c>
      <c r="E1396" s="10">
        <v>9.0145595252598999E-3</v>
      </c>
      <c r="F1396" s="10" t="str">
        <f>"MT1E"</f>
        <v>MT1E</v>
      </c>
      <c r="G1396" s="10" t="str">
        <f t="shared" si="51"/>
        <v>protein_coding</v>
      </c>
      <c r="J1396" s="14"/>
    </row>
    <row r="1397" spans="1:10" x14ac:dyDescent="0.2">
      <c r="A1397" s="10" t="str">
        <f>"ENSG00000187193.9"</f>
        <v>ENSG00000187193.9</v>
      </c>
      <c r="B1397" s="10">
        <v>1.57012352616136</v>
      </c>
      <c r="C1397" s="10">
        <v>1.13479769633463</v>
      </c>
      <c r="D1397" s="10">
        <v>6.5981760373035696</v>
      </c>
      <c r="E1397" s="10">
        <v>3.2866872486009897E-2</v>
      </c>
      <c r="F1397" s="10" t="str">
        <f>"MT1X"</f>
        <v>MT1X</v>
      </c>
      <c r="G1397" s="10" t="str">
        <f t="shared" si="51"/>
        <v>protein_coding</v>
      </c>
      <c r="J1397" s="14"/>
    </row>
    <row r="1398" spans="1:10" x14ac:dyDescent="0.2">
      <c r="A1398" s="10" t="str">
        <f>"ENSG00000087237.12"</f>
        <v>ENSG00000087237.12</v>
      </c>
      <c r="B1398" s="10">
        <v>1.28313033441728</v>
      </c>
      <c r="C1398" s="10">
        <v>1.8249743894874899</v>
      </c>
      <c r="D1398" s="10">
        <v>10.0541530426568</v>
      </c>
      <c r="E1398" s="10">
        <v>1.2970987525941899E-2</v>
      </c>
      <c r="F1398" s="10" t="str">
        <f>"CETP"</f>
        <v>CETP</v>
      </c>
      <c r="G1398" s="10" t="str">
        <f t="shared" si="51"/>
        <v>protein_coding</v>
      </c>
      <c r="J1398" s="14"/>
    </row>
    <row r="1399" spans="1:10" x14ac:dyDescent="0.2">
      <c r="A1399" s="10" t="str">
        <f>"ENSG00000140853.15"</f>
        <v>ENSG00000140853.15</v>
      </c>
      <c r="B1399" s="10">
        <v>2.7091991725234501</v>
      </c>
      <c r="C1399" s="10">
        <v>3.4632773841006301</v>
      </c>
      <c r="D1399" s="10">
        <v>25.566622598881601</v>
      </c>
      <c r="E1399" s="10">
        <v>9.4528641776254801E-4</v>
      </c>
      <c r="F1399" s="10" t="str">
        <f>"NLRC5"</f>
        <v>NLRC5</v>
      </c>
      <c r="G1399" s="10" t="str">
        <f t="shared" si="51"/>
        <v>protein_coding</v>
      </c>
      <c r="J1399" s="14"/>
    </row>
    <row r="1400" spans="1:10" x14ac:dyDescent="0.2">
      <c r="A1400" s="10" t="str">
        <f>"ENSG00000260828.1"</f>
        <v>ENSG00000260828.1</v>
      </c>
      <c r="B1400" s="10">
        <v>2.5011900215676599</v>
      </c>
      <c r="C1400" s="10">
        <v>-1.77338576787953</v>
      </c>
      <c r="D1400" s="10">
        <v>9.1472016082495404</v>
      </c>
      <c r="E1400" s="10">
        <v>1.61836855041043E-2</v>
      </c>
      <c r="F1400" s="10" t="str">
        <f>"HMGB3P32"</f>
        <v>HMGB3P32</v>
      </c>
      <c r="G1400" s="10" t="str">
        <f>"processed_pseudogene"</f>
        <v>processed_pseudogene</v>
      </c>
      <c r="J1400" s="14"/>
    </row>
    <row r="1401" spans="1:10" x14ac:dyDescent="0.2">
      <c r="A1401" s="10" t="str">
        <f>"ENSG00000159625.14"</f>
        <v>ENSG00000159625.14</v>
      </c>
      <c r="B1401" s="10">
        <v>1.5242849898677799</v>
      </c>
      <c r="C1401" s="10">
        <v>-0.44661914776459299</v>
      </c>
      <c r="D1401" s="10">
        <v>7.0717918667885398</v>
      </c>
      <c r="E1401" s="10">
        <v>2.8528853878857001E-2</v>
      </c>
      <c r="F1401" s="10" t="str">
        <f>"DRC7"</f>
        <v>DRC7</v>
      </c>
      <c r="G1401" s="10" t="str">
        <f>"protein_coding"</f>
        <v>protein_coding</v>
      </c>
      <c r="J1401" s="14"/>
    </row>
    <row r="1402" spans="1:10" x14ac:dyDescent="0.2">
      <c r="A1402" s="10" t="str">
        <f>"ENSG00000103034.14"</f>
        <v>ENSG00000103034.14</v>
      </c>
      <c r="B1402" s="10">
        <v>1.10835684586887</v>
      </c>
      <c r="C1402" s="10">
        <v>5.2779524730737997</v>
      </c>
      <c r="D1402" s="10">
        <v>6.2544060492803499</v>
      </c>
      <c r="E1402" s="10">
        <v>3.6548509693892797E-2</v>
      </c>
      <c r="F1402" s="10" t="str">
        <f>"NDRG4"</f>
        <v>NDRG4</v>
      </c>
      <c r="G1402" s="10" t="str">
        <f>"protein_coding"</f>
        <v>protein_coding</v>
      </c>
      <c r="J1402" s="14"/>
    </row>
    <row r="1403" spans="1:10" x14ac:dyDescent="0.2">
      <c r="A1403" s="10" t="str">
        <f>"ENSG00000261807.2"</f>
        <v>ENSG00000261807.2</v>
      </c>
      <c r="B1403" s="10">
        <v>-2.6471025456531501</v>
      </c>
      <c r="C1403" s="10">
        <v>-1.89009741948697</v>
      </c>
      <c r="D1403" s="10">
        <v>7.1320291189192604</v>
      </c>
      <c r="E1403" s="10">
        <v>2.80302992481881E-2</v>
      </c>
      <c r="F1403" s="10" t="str">
        <f>"LINC02141"</f>
        <v>LINC02141</v>
      </c>
      <c r="G1403" s="10" t="str">
        <f>"lincRNA"</f>
        <v>lincRNA</v>
      </c>
      <c r="J1403" s="14"/>
    </row>
    <row r="1404" spans="1:10" x14ac:dyDescent="0.2">
      <c r="A1404" s="10" t="str">
        <f>"ENSG00000150394.14"</f>
        <v>ENSG00000150394.14</v>
      </c>
      <c r="B1404" s="10">
        <v>-3.3657180291332498</v>
      </c>
      <c r="C1404" s="10">
        <v>-1.9860986148380699</v>
      </c>
      <c r="D1404" s="10">
        <v>9.1475447563927492</v>
      </c>
      <c r="E1404" s="10">
        <v>1.62127517295509E-2</v>
      </c>
      <c r="F1404" s="10" t="str">
        <f>"CDH8"</f>
        <v>CDH8</v>
      </c>
      <c r="G1404" s="10" t="str">
        <f>"protein_coding"</f>
        <v>protein_coding</v>
      </c>
      <c r="J1404" s="14"/>
    </row>
    <row r="1405" spans="1:10" x14ac:dyDescent="0.2">
      <c r="A1405" s="10" t="str">
        <f>"ENSG00000246898.1"</f>
        <v>ENSG00000246898.1</v>
      </c>
      <c r="B1405" s="10">
        <v>1.79032794213063</v>
      </c>
      <c r="C1405" s="10">
        <v>1.69926653804511</v>
      </c>
      <c r="D1405" s="10">
        <v>8.4697892251900004</v>
      </c>
      <c r="E1405" s="10">
        <v>1.9324159345556698E-2</v>
      </c>
      <c r="F1405" s="10" t="str">
        <f>"LINC00920"</f>
        <v>LINC00920</v>
      </c>
      <c r="G1405" s="10" t="str">
        <f>"lincRNA"</f>
        <v>lincRNA</v>
      </c>
      <c r="J1405" s="14"/>
    </row>
    <row r="1406" spans="1:10" x14ac:dyDescent="0.2">
      <c r="A1406" s="10" t="str">
        <f>"ENSG00000166589.13"</f>
        <v>ENSG00000166589.13</v>
      </c>
      <c r="B1406" s="10">
        <v>1.9678607386668501</v>
      </c>
      <c r="C1406" s="10">
        <v>0.21216857864465299</v>
      </c>
      <c r="D1406" s="10">
        <v>21.134002030231699</v>
      </c>
      <c r="E1406" s="10">
        <v>1.70619551233094E-3</v>
      </c>
      <c r="F1406" s="10" t="str">
        <f>"CDH16"</f>
        <v>CDH16</v>
      </c>
      <c r="G1406" s="10" t="str">
        <f>"protein_coding"</f>
        <v>protein_coding</v>
      </c>
      <c r="J1406" s="14"/>
    </row>
    <row r="1407" spans="1:10" x14ac:dyDescent="0.2">
      <c r="A1407" s="10" t="str">
        <f>"ENSG00000176387.7"</f>
        <v>ENSG00000176387.7</v>
      </c>
      <c r="B1407" s="10">
        <v>-2.6094564724979699</v>
      </c>
      <c r="C1407" s="10">
        <v>3.2607479369446999</v>
      </c>
      <c r="D1407" s="10">
        <v>22.131421493935001</v>
      </c>
      <c r="E1407" s="10">
        <v>1.4823264139538501E-3</v>
      </c>
      <c r="F1407" s="10" t="str">
        <f>"HSD11B2"</f>
        <v>HSD11B2</v>
      </c>
      <c r="G1407" s="10" t="str">
        <f>"protein_coding"</f>
        <v>protein_coding</v>
      </c>
      <c r="J1407" s="14"/>
    </row>
    <row r="1408" spans="1:10" x14ac:dyDescent="0.2">
      <c r="A1408" s="10" t="str">
        <f>"ENSG00000261469.1"</f>
        <v>ENSG00000261469.1</v>
      </c>
      <c r="B1408" s="10">
        <v>-1.26838516150517</v>
      </c>
      <c r="C1408" s="10">
        <v>0.37089889071334597</v>
      </c>
      <c r="D1408" s="10">
        <v>9.5460980828968705</v>
      </c>
      <c r="E1408" s="10">
        <v>1.46750972658542E-2</v>
      </c>
      <c r="F1408" s="10" t="str">
        <f>"AC020978.4"</f>
        <v>AC020978.4</v>
      </c>
      <c r="G1408" s="10" t="str">
        <f>"sense_intronic"</f>
        <v>sense_intronic</v>
      </c>
      <c r="J1408" s="14"/>
    </row>
    <row r="1409" spans="1:10" x14ac:dyDescent="0.2">
      <c r="A1409" s="10" t="str">
        <f>"ENSG00000103056.12"</f>
        <v>ENSG00000103056.12</v>
      </c>
      <c r="B1409" s="10">
        <v>-1.3778095507799599</v>
      </c>
      <c r="C1409" s="10">
        <v>2.1945795800924799</v>
      </c>
      <c r="D1409" s="10">
        <v>14.8004135988868</v>
      </c>
      <c r="E1409" s="10">
        <v>4.7843368754154E-3</v>
      </c>
      <c r="F1409" s="10" t="str">
        <f>"SMPD3"</f>
        <v>SMPD3</v>
      </c>
      <c r="G1409" s="10" t="str">
        <f>"protein_coding"</f>
        <v>protein_coding</v>
      </c>
      <c r="J1409" s="14"/>
    </row>
    <row r="1410" spans="1:10" x14ac:dyDescent="0.2">
      <c r="A1410" s="10" t="str">
        <f>"ENSG00000279693.1"</f>
        <v>ENSG00000279693.1</v>
      </c>
      <c r="B1410" s="10">
        <v>-5.2789760153516596</v>
      </c>
      <c r="C1410" s="10">
        <v>-2.0461833263505098</v>
      </c>
      <c r="D1410" s="10">
        <v>17.692181264680201</v>
      </c>
      <c r="E1410" s="10">
        <v>5.2712335139265603E-3</v>
      </c>
      <c r="F1410" s="10" t="str">
        <f>"AC099521.2"</f>
        <v>AC099521.2</v>
      </c>
      <c r="G1410" s="10" t="str">
        <f>"TEC"</f>
        <v>TEC</v>
      </c>
      <c r="J1410" s="14"/>
    </row>
    <row r="1411" spans="1:10" x14ac:dyDescent="0.2">
      <c r="A1411" s="10" t="str">
        <f>"ENSG00000274698.1"</f>
        <v>ENSG00000274698.1</v>
      </c>
      <c r="B1411" s="10">
        <v>-3.26594834323704</v>
      </c>
      <c r="C1411" s="10">
        <v>-2.0431795871056102</v>
      </c>
      <c r="D1411" s="10">
        <v>11.057702647543699</v>
      </c>
      <c r="E1411" s="10">
        <v>1.00971330540429E-2</v>
      </c>
      <c r="F1411" s="10" t="str">
        <f>"AC099521.1"</f>
        <v>AC099521.1</v>
      </c>
      <c r="G1411" s="10" t="str">
        <f>"lincRNA"</f>
        <v>lincRNA</v>
      </c>
      <c r="J1411" s="14"/>
    </row>
    <row r="1412" spans="1:10" x14ac:dyDescent="0.2">
      <c r="A1412" s="10" t="str">
        <f>"ENSG00000062038.14"</f>
        <v>ENSG00000062038.14</v>
      </c>
      <c r="B1412" s="10">
        <v>-2.19428711199367</v>
      </c>
      <c r="C1412" s="10">
        <v>1.85342540248318</v>
      </c>
      <c r="D1412" s="10">
        <v>11.484760619320999</v>
      </c>
      <c r="E1412" s="10">
        <v>9.3436162882421202E-3</v>
      </c>
      <c r="F1412" s="10" t="str">
        <f>"CDH3"</f>
        <v>CDH3</v>
      </c>
      <c r="G1412" s="10" t="str">
        <f>"protein_coding"</f>
        <v>protein_coding</v>
      </c>
      <c r="J1412" s="14"/>
    </row>
    <row r="1413" spans="1:10" x14ac:dyDescent="0.2">
      <c r="A1413" s="10" t="str">
        <f>"ENSG00000260290.2"</f>
        <v>ENSG00000260290.2</v>
      </c>
      <c r="B1413" s="10">
        <v>-1.3028355866014301</v>
      </c>
      <c r="C1413" s="10">
        <v>-0.87411791800568694</v>
      </c>
      <c r="D1413" s="10">
        <v>7.1996698729249697</v>
      </c>
      <c r="E1413" s="10">
        <v>2.7076502454741701E-2</v>
      </c>
      <c r="F1413" s="10" t="str">
        <f>"AC092115.1"</f>
        <v>AC092115.1</v>
      </c>
      <c r="G1413" s="10" t="str">
        <f>"processed_pseudogene"</f>
        <v>processed_pseudogene</v>
      </c>
      <c r="J1413" s="14"/>
    </row>
    <row r="1414" spans="1:10" x14ac:dyDescent="0.2">
      <c r="A1414" s="10" t="str">
        <f>"ENSG00000157335.20"</f>
        <v>ENSG00000157335.20</v>
      </c>
      <c r="B1414" s="10">
        <v>-1.3753812729085899</v>
      </c>
      <c r="C1414" s="10">
        <v>0.451571765609939</v>
      </c>
      <c r="D1414" s="10">
        <v>5.6357548447259003</v>
      </c>
      <c r="E1414" s="10">
        <v>4.45967253022072E-2</v>
      </c>
      <c r="F1414" s="10" t="str">
        <f>"CLEC18C"</f>
        <v>CLEC18C</v>
      </c>
      <c r="G1414" s="10" t="str">
        <f>"protein_coding"</f>
        <v>protein_coding</v>
      </c>
      <c r="J1414" s="14"/>
    </row>
    <row r="1415" spans="1:10" x14ac:dyDescent="0.2">
      <c r="A1415" s="10" t="str">
        <f>"ENSG00000261556.9"</f>
        <v>ENSG00000261556.9</v>
      </c>
      <c r="B1415" s="10">
        <v>-1.04873471216215</v>
      </c>
      <c r="C1415" s="10">
        <v>0.71709077131538002</v>
      </c>
      <c r="D1415" s="10">
        <v>7.1553397594949804</v>
      </c>
      <c r="E1415" s="10">
        <v>2.78403242028143E-2</v>
      </c>
      <c r="F1415" s="10" t="str">
        <f>"SMG1P7"</f>
        <v>SMG1P7</v>
      </c>
      <c r="G1415" s="10" t="str">
        <f>"transcribed_unprocessed_pseudogene"</f>
        <v>transcribed_unprocessed_pseudogene</v>
      </c>
      <c r="J1415" s="14"/>
    </row>
    <row r="1416" spans="1:10" x14ac:dyDescent="0.2">
      <c r="A1416" s="10" t="str">
        <f>"ENSG00000198650.11"</f>
        <v>ENSG00000198650.11</v>
      </c>
      <c r="B1416" s="10">
        <v>2.2045505979827098</v>
      </c>
      <c r="C1416" s="10">
        <v>1.5247192385873001</v>
      </c>
      <c r="D1416" s="10">
        <v>14.1473064083458</v>
      </c>
      <c r="E1416" s="10">
        <v>5.4116649423943302E-3</v>
      </c>
      <c r="F1416" s="10" t="str">
        <f>"TAT"</f>
        <v>TAT</v>
      </c>
      <c r="G1416" s="10" t="str">
        <f>"protein_coding"</f>
        <v>protein_coding</v>
      </c>
      <c r="J1416" s="14"/>
    </row>
    <row r="1417" spans="1:10" x14ac:dyDescent="0.2">
      <c r="A1417" s="10" t="str">
        <f>"ENSG00000257017.8"</f>
        <v>ENSG00000257017.8</v>
      </c>
      <c r="B1417" s="10">
        <v>2.70065018617592</v>
      </c>
      <c r="C1417" s="10">
        <v>3.92123364364517</v>
      </c>
      <c r="D1417" s="10">
        <v>10.6785803150684</v>
      </c>
      <c r="E1417" s="10">
        <v>1.12027244146936E-2</v>
      </c>
      <c r="F1417" s="10" t="str">
        <f>"HP"</f>
        <v>HP</v>
      </c>
      <c r="G1417" s="10" t="str">
        <f>"protein_coding"</f>
        <v>protein_coding</v>
      </c>
      <c r="J1417" s="14"/>
    </row>
    <row r="1418" spans="1:10" x14ac:dyDescent="0.2">
      <c r="A1418" s="10" t="str">
        <f>"ENSG00000261701.7"</f>
        <v>ENSG00000261701.7</v>
      </c>
      <c r="B1418" s="10">
        <v>3.1202889864970902</v>
      </c>
      <c r="C1418" s="10">
        <v>1.19747411009569</v>
      </c>
      <c r="D1418" s="10">
        <v>10.0751966328455</v>
      </c>
      <c r="E1418" s="10">
        <v>1.29059134064338E-2</v>
      </c>
      <c r="F1418" s="10" t="str">
        <f>"HPR"</f>
        <v>HPR</v>
      </c>
      <c r="G1418" s="10" t="str">
        <f>"protein_coding"</f>
        <v>protein_coding</v>
      </c>
      <c r="J1418" s="14"/>
    </row>
    <row r="1419" spans="1:10" x14ac:dyDescent="0.2">
      <c r="A1419" s="10" t="str">
        <f>"ENSG00000261079.1"</f>
        <v>ENSG00000261079.1</v>
      </c>
      <c r="B1419" s="10">
        <v>-2.37259005115108</v>
      </c>
      <c r="C1419" s="10">
        <v>-1.7166019287324199</v>
      </c>
      <c r="D1419" s="10">
        <v>7.3682461373550501</v>
      </c>
      <c r="E1419" s="10">
        <v>2.6178249416779101E-2</v>
      </c>
      <c r="F1419" s="10" t="str">
        <f>"AC009053.2"</f>
        <v>AC009053.2</v>
      </c>
      <c r="G1419" s="10" t="str">
        <f>"lincRNA"</f>
        <v>lincRNA</v>
      </c>
      <c r="J1419" s="14"/>
    </row>
    <row r="1420" spans="1:10" x14ac:dyDescent="0.2">
      <c r="A1420" s="10" t="str">
        <f>"ENSG00000261170.1"</f>
        <v>ENSG00000261170.1</v>
      </c>
      <c r="B1420" s="10">
        <v>-1.53600963549161</v>
      </c>
      <c r="C1420" s="10">
        <v>-0.55968244712704596</v>
      </c>
      <c r="D1420" s="10">
        <v>13.2261102957654</v>
      </c>
      <c r="E1420" s="10">
        <v>6.2999478803735199E-3</v>
      </c>
      <c r="F1420" s="10" t="str">
        <f>"AC009053.3"</f>
        <v>AC009053.3</v>
      </c>
      <c r="G1420" s="10" t="str">
        <f>"antisense"</f>
        <v>antisense</v>
      </c>
      <c r="J1420" s="14"/>
    </row>
    <row r="1421" spans="1:10" x14ac:dyDescent="0.2">
      <c r="A1421" s="10" t="str">
        <f>"ENSG00000168404.13"</f>
        <v>ENSG00000168404.13</v>
      </c>
      <c r="B1421" s="10">
        <v>1.50882952476982</v>
      </c>
      <c r="C1421" s="10">
        <v>0.97241435083084704</v>
      </c>
      <c r="D1421" s="10">
        <v>16.047913074195201</v>
      </c>
      <c r="E1421" s="10">
        <v>3.81945874643267E-3</v>
      </c>
      <c r="F1421" s="10" t="str">
        <f>"MLKL"</f>
        <v>MLKL</v>
      </c>
      <c r="G1421" s="10" t="str">
        <f>"protein_coding"</f>
        <v>protein_coding</v>
      </c>
      <c r="J1421" s="14"/>
    </row>
    <row r="1422" spans="1:10" x14ac:dyDescent="0.2">
      <c r="A1422" s="10" t="str">
        <f>"ENSG00000168925.11"</f>
        <v>ENSG00000168925.11</v>
      </c>
      <c r="B1422" s="10">
        <v>-2.1687516053353799</v>
      </c>
      <c r="C1422" s="10">
        <v>-1.1648424468394201</v>
      </c>
      <c r="D1422" s="10">
        <v>9.5533873638617504</v>
      </c>
      <c r="E1422" s="10">
        <v>1.464872178608E-2</v>
      </c>
      <c r="F1422" s="10" t="str">
        <f>"CTRB1"</f>
        <v>CTRB1</v>
      </c>
      <c r="G1422" s="10" t="str">
        <f>"protein_coding"</f>
        <v>protein_coding</v>
      </c>
      <c r="J1422" s="14"/>
    </row>
    <row r="1423" spans="1:10" x14ac:dyDescent="0.2">
      <c r="A1423" s="10" t="str">
        <f>"ENSG00000178573.7"</f>
        <v>ENSG00000178573.7</v>
      </c>
      <c r="B1423" s="10">
        <v>-1.76367886016972</v>
      </c>
      <c r="C1423" s="10">
        <v>2.5531211756885202</v>
      </c>
      <c r="D1423" s="10">
        <v>8.6197719761396705</v>
      </c>
      <c r="E1423" s="10">
        <v>1.8574961066610898E-2</v>
      </c>
      <c r="F1423" s="10" t="str">
        <f>"MAF"</f>
        <v>MAF</v>
      </c>
      <c r="G1423" s="10" t="str">
        <f>"protein_coding"</f>
        <v>protein_coding</v>
      </c>
      <c r="J1423" s="14"/>
    </row>
    <row r="1424" spans="1:10" x14ac:dyDescent="0.2">
      <c r="A1424" s="10" t="str">
        <f>"ENSG00000260876.5"</f>
        <v>ENSG00000260876.5</v>
      </c>
      <c r="B1424" s="10">
        <v>-2.3634798006811102</v>
      </c>
      <c r="C1424" s="10">
        <v>-2.03659422114817</v>
      </c>
      <c r="D1424" s="10">
        <v>6.1476200327388</v>
      </c>
      <c r="E1424" s="10">
        <v>3.77975073114079E-2</v>
      </c>
      <c r="F1424" s="10" t="str">
        <f>"LINC01229"</f>
        <v>LINC01229</v>
      </c>
      <c r="G1424" s="10" t="str">
        <f>"lincRNA"</f>
        <v>lincRNA</v>
      </c>
      <c r="J1424" s="14"/>
    </row>
    <row r="1425" spans="1:10" x14ac:dyDescent="0.2">
      <c r="A1425" s="10" t="str">
        <f>"ENSG00000166446.15"</f>
        <v>ENSG00000166446.15</v>
      </c>
      <c r="B1425" s="10">
        <v>-1.2579448567792699</v>
      </c>
      <c r="C1425" s="10">
        <v>-0.268878582785545</v>
      </c>
      <c r="D1425" s="10">
        <v>6.96229440033086</v>
      </c>
      <c r="E1425" s="10">
        <v>2.9464151919177301E-2</v>
      </c>
      <c r="F1425" s="10" t="str">
        <f>"CDYL2"</f>
        <v>CDYL2</v>
      </c>
      <c r="G1425" s="10" t="str">
        <f>"protein_coding"</f>
        <v>protein_coding</v>
      </c>
      <c r="J1425" s="14"/>
    </row>
    <row r="1426" spans="1:10" x14ac:dyDescent="0.2">
      <c r="A1426" s="10" t="str">
        <f>"ENSG00000166473.17"</f>
        <v>ENSG00000166473.17</v>
      </c>
      <c r="B1426" s="10">
        <v>1.17363801110605</v>
      </c>
      <c r="C1426" s="10">
        <v>2.4624539988023701</v>
      </c>
      <c r="D1426" s="10">
        <v>23.000922970576099</v>
      </c>
      <c r="E1426" s="10">
        <v>1.25572454802762E-3</v>
      </c>
      <c r="F1426" s="10" t="str">
        <f>"PKD1L2"</f>
        <v>PKD1L2</v>
      </c>
      <c r="G1426" s="10" t="str">
        <f>"polymorphic_pseudogene"</f>
        <v>polymorphic_pseudogene</v>
      </c>
      <c r="J1426" s="14"/>
    </row>
    <row r="1427" spans="1:10" x14ac:dyDescent="0.2">
      <c r="A1427" s="10" t="str">
        <f>"ENSG00000103196.12"</f>
        <v>ENSG00000103196.12</v>
      </c>
      <c r="B1427" s="10">
        <v>-1.4903270728618601</v>
      </c>
      <c r="C1427" s="10">
        <v>1.5710406745294201</v>
      </c>
      <c r="D1427" s="10">
        <v>5.2957175765251296</v>
      </c>
      <c r="E1427" s="10">
        <v>4.9988199986636998E-2</v>
      </c>
      <c r="F1427" s="10" t="str">
        <f>"CRISPLD2"</f>
        <v>CRISPLD2</v>
      </c>
      <c r="G1427" s="10" t="str">
        <f>"protein_coding"</f>
        <v>protein_coding</v>
      </c>
      <c r="J1427" s="14"/>
    </row>
    <row r="1428" spans="1:10" x14ac:dyDescent="0.2">
      <c r="A1428" s="10" t="str">
        <f>"ENSG00000153789.13"</f>
        <v>ENSG00000153789.13</v>
      </c>
      <c r="B1428" s="10">
        <v>-2.5024957023582801</v>
      </c>
      <c r="C1428" s="10">
        <v>-1.3901049413742901</v>
      </c>
      <c r="D1428" s="10">
        <v>5.9553622187553801</v>
      </c>
      <c r="E1428" s="10">
        <v>4.0185830997563399E-2</v>
      </c>
      <c r="F1428" s="10" t="str">
        <f>"FAM92B"</f>
        <v>FAM92B</v>
      </c>
      <c r="G1428" s="10" t="str">
        <f>"protein_coding"</f>
        <v>protein_coding</v>
      </c>
      <c r="J1428" s="14"/>
    </row>
    <row r="1429" spans="1:10" x14ac:dyDescent="0.2">
      <c r="A1429" s="10" t="str">
        <f>"ENSG00000154102.11"</f>
        <v>ENSG00000154102.11</v>
      </c>
      <c r="B1429" s="10">
        <v>-2.4051710382601299</v>
      </c>
      <c r="C1429" s="10">
        <v>-0.71982685867355001</v>
      </c>
      <c r="D1429" s="10">
        <v>8.4913649803343905</v>
      </c>
      <c r="E1429" s="10">
        <v>1.9214070669850401E-2</v>
      </c>
      <c r="F1429" s="10" t="str">
        <f>"C16orf74"</f>
        <v>C16orf74</v>
      </c>
      <c r="G1429" s="10" t="str">
        <f>"protein_coding"</f>
        <v>protein_coding</v>
      </c>
      <c r="J1429" s="14"/>
    </row>
    <row r="1430" spans="1:10" x14ac:dyDescent="0.2">
      <c r="A1430" s="10" t="str">
        <f>"ENSG00000269901.1"</f>
        <v>ENSG00000269901.1</v>
      </c>
      <c r="B1430" s="10">
        <v>1.11729312570142</v>
      </c>
      <c r="C1430" s="10">
        <v>0.724708372738328</v>
      </c>
      <c r="D1430" s="10">
        <v>13.087056061066001</v>
      </c>
      <c r="E1430" s="10">
        <v>6.4806522579482096E-3</v>
      </c>
      <c r="F1430" s="10" t="str">
        <f>"AC010531.5"</f>
        <v>AC010531.5</v>
      </c>
      <c r="G1430" s="10" t="str">
        <f>"antisense"</f>
        <v>antisense</v>
      </c>
      <c r="J1430" s="14"/>
    </row>
    <row r="1431" spans="1:10" x14ac:dyDescent="0.2">
      <c r="A1431" s="10" t="str">
        <f>"ENSG00000261273.1"</f>
        <v>ENSG00000261273.1</v>
      </c>
      <c r="B1431" s="10">
        <v>1.42488635675231</v>
      </c>
      <c r="C1431" s="10">
        <v>-0.71370763477324894</v>
      </c>
      <c r="D1431" s="10">
        <v>5.5839008808730899</v>
      </c>
      <c r="E1431" s="10">
        <v>4.5369365542434599E-2</v>
      </c>
      <c r="F1431" s="10" t="str">
        <f>"AC138512.1"</f>
        <v>AC138512.1</v>
      </c>
      <c r="G1431" s="10" t="str">
        <f>"lincRNA"</f>
        <v>lincRNA</v>
      </c>
      <c r="J1431" s="14"/>
    </row>
    <row r="1432" spans="1:10" x14ac:dyDescent="0.2">
      <c r="A1432" s="10" t="str">
        <f>"ENSG00000185669.6"</f>
        <v>ENSG00000185669.6</v>
      </c>
      <c r="B1432" s="10">
        <v>-1.14324825897293</v>
      </c>
      <c r="C1432" s="10">
        <v>2.6757067801219598</v>
      </c>
      <c r="D1432" s="10">
        <v>5.7144608543766697</v>
      </c>
      <c r="E1432" s="10">
        <v>4.3455640268861201E-2</v>
      </c>
      <c r="F1432" s="10" t="str">
        <f>"SNAI3"</f>
        <v>SNAI3</v>
      </c>
      <c r="G1432" s="10" t="str">
        <f>"protein_coding"</f>
        <v>protein_coding</v>
      </c>
      <c r="J1432" s="14"/>
    </row>
    <row r="1433" spans="1:10" x14ac:dyDescent="0.2">
      <c r="A1433" s="10" t="str">
        <f>"ENSG00000015413.9"</f>
        <v>ENSG00000015413.9</v>
      </c>
      <c r="B1433" s="10">
        <v>1.2603136775250201</v>
      </c>
      <c r="C1433" s="10">
        <v>4.2314256850641598</v>
      </c>
      <c r="D1433" s="10">
        <v>21.260733369934002</v>
      </c>
      <c r="E1433" s="10">
        <v>1.67551229117815E-3</v>
      </c>
      <c r="F1433" s="10" t="str">
        <f>"DPEP1"</f>
        <v>DPEP1</v>
      </c>
      <c r="G1433" s="10" t="str">
        <f>"protein_coding"</f>
        <v>protein_coding</v>
      </c>
      <c r="J1433" s="14"/>
    </row>
    <row r="1434" spans="1:10" x14ac:dyDescent="0.2">
      <c r="A1434" s="10" t="str">
        <f>"ENSG00000272636.4"</f>
        <v>ENSG00000272636.4</v>
      </c>
      <c r="B1434" s="10">
        <v>-2.4092781931265801</v>
      </c>
      <c r="C1434" s="10">
        <v>-0.33421591033821402</v>
      </c>
      <c r="D1434" s="10">
        <v>9.8990593307551205</v>
      </c>
      <c r="E1434" s="10">
        <v>1.34635276333567E-2</v>
      </c>
      <c r="F1434" s="10" t="str">
        <f>"DOC2B"</f>
        <v>DOC2B</v>
      </c>
      <c r="G1434" s="10" t="str">
        <f>"protein_coding"</f>
        <v>protein_coding</v>
      </c>
      <c r="J1434" s="14"/>
    </row>
    <row r="1435" spans="1:10" x14ac:dyDescent="0.2">
      <c r="A1435" s="10" t="str">
        <f>"ENSG00000273172.1"</f>
        <v>ENSG00000273172.1</v>
      </c>
      <c r="B1435" s="10">
        <v>-5.36608525996696</v>
      </c>
      <c r="C1435" s="10">
        <v>-1.99557994109549</v>
      </c>
      <c r="D1435" s="10">
        <v>18.783300268427102</v>
      </c>
      <c r="E1435" s="10">
        <v>4.5638418075685597E-3</v>
      </c>
      <c r="F1435" s="10" t="str">
        <f>"LINC02091"</f>
        <v>LINC02091</v>
      </c>
      <c r="G1435" s="10" t="str">
        <f>"lincRNA"</f>
        <v>lincRNA</v>
      </c>
      <c r="J1435" s="14"/>
    </row>
    <row r="1436" spans="1:10" x14ac:dyDescent="0.2">
      <c r="A1436" s="10" t="str">
        <f>"ENSG00000262294.1"</f>
        <v>ENSG00000262294.1</v>
      </c>
      <c r="B1436" s="10">
        <v>1.4466506834761099</v>
      </c>
      <c r="C1436" s="10">
        <v>-0.49639675138538197</v>
      </c>
      <c r="D1436" s="10">
        <v>8.0318869738965706</v>
      </c>
      <c r="E1436" s="10">
        <v>2.1740564436140499E-2</v>
      </c>
      <c r="F1436" s="10" t="str">
        <f>"AC129507.2"</f>
        <v>AC129507.2</v>
      </c>
      <c r="G1436" s="10" t="str">
        <f>"antisense"</f>
        <v>antisense</v>
      </c>
      <c r="J1436" s="14"/>
    </row>
    <row r="1437" spans="1:10" x14ac:dyDescent="0.2">
      <c r="A1437" s="10" t="str">
        <f>"ENSG00000262558.1"</f>
        <v>ENSG00000262558.1</v>
      </c>
      <c r="B1437" s="10">
        <v>1.2574557784099401</v>
      </c>
      <c r="C1437" s="10">
        <v>-0.72081234358417501</v>
      </c>
      <c r="D1437" s="10">
        <v>5.9675006604337</v>
      </c>
      <c r="E1437" s="10">
        <v>4.0029476523935202E-2</v>
      </c>
      <c r="F1437" s="10" t="str">
        <f>"AC129507.3"</f>
        <v>AC129507.3</v>
      </c>
      <c r="G1437" s="10" t="str">
        <f>"antisense"</f>
        <v>antisense</v>
      </c>
      <c r="J1437" s="14"/>
    </row>
    <row r="1438" spans="1:10" x14ac:dyDescent="0.2">
      <c r="A1438" s="10" t="str">
        <f>"ENSG00000183688.4"</f>
        <v>ENSG00000183688.4</v>
      </c>
      <c r="B1438" s="10">
        <v>-1.6280147977678401</v>
      </c>
      <c r="C1438" s="10">
        <v>2.7247568913584299</v>
      </c>
      <c r="D1438" s="10">
        <v>22.198596192430902</v>
      </c>
      <c r="E1438" s="10">
        <v>1.4686076706618E-3</v>
      </c>
      <c r="F1438" s="10" t="str">
        <f>"RFLNB"</f>
        <v>RFLNB</v>
      </c>
      <c r="G1438" s="10" t="str">
        <f>"protein_coding"</f>
        <v>protein_coding</v>
      </c>
      <c r="J1438" s="14"/>
    </row>
    <row r="1439" spans="1:10" x14ac:dyDescent="0.2">
      <c r="A1439" s="10" t="str">
        <f>"ENSG00000231784.8"</f>
        <v>ENSG00000231784.8</v>
      </c>
      <c r="B1439" s="10">
        <v>-1.25787621183584</v>
      </c>
      <c r="C1439" s="10">
        <v>-0.86706057116944102</v>
      </c>
      <c r="D1439" s="10">
        <v>5.4231028813880204</v>
      </c>
      <c r="E1439" s="10">
        <v>4.7797015458430299E-2</v>
      </c>
      <c r="F1439" s="10" t="str">
        <f>"DBIL5P"</f>
        <v>DBIL5P</v>
      </c>
      <c r="G1439" s="10" t="str">
        <f>"transcribed_unitary_pseudogene"</f>
        <v>transcribed_unitary_pseudogene</v>
      </c>
      <c r="J1439" s="14"/>
    </row>
    <row r="1440" spans="1:10" x14ac:dyDescent="0.2">
      <c r="A1440" s="10" t="str">
        <f>"ENSG00000185924.7"</f>
        <v>ENSG00000185924.7</v>
      </c>
      <c r="B1440" s="10">
        <v>-2.1399061013015599</v>
      </c>
      <c r="C1440" s="10">
        <v>0.71056806224237501</v>
      </c>
      <c r="D1440" s="10">
        <v>7.0370252169396803</v>
      </c>
      <c r="E1440" s="10">
        <v>2.88217034321065E-2</v>
      </c>
      <c r="F1440" s="10" t="str">
        <f>"RTN4RL1"</f>
        <v>RTN4RL1</v>
      </c>
      <c r="G1440" s="10" t="str">
        <f>"protein_coding"</f>
        <v>protein_coding</v>
      </c>
      <c r="J1440" s="14"/>
    </row>
    <row r="1441" spans="1:10" x14ac:dyDescent="0.2">
      <c r="A1441" s="10" t="str">
        <f>"ENSG00000177374.13"</f>
        <v>ENSG00000177374.13</v>
      </c>
      <c r="B1441" s="10">
        <v>-1.3140494304316499</v>
      </c>
      <c r="C1441" s="10">
        <v>2.2748536888217501</v>
      </c>
      <c r="D1441" s="10">
        <v>14.820824824112901</v>
      </c>
      <c r="E1441" s="10">
        <v>4.7662398139494896E-3</v>
      </c>
      <c r="F1441" s="10" t="str">
        <f>"HIC1"</f>
        <v>HIC1</v>
      </c>
      <c r="G1441" s="10" t="str">
        <f>"protein_coding"</f>
        <v>protein_coding</v>
      </c>
      <c r="J1441" s="14"/>
    </row>
    <row r="1442" spans="1:10" x14ac:dyDescent="0.2">
      <c r="A1442" s="10" t="str">
        <f>"ENSG00000240898.1"</f>
        <v>ENSG00000240898.1</v>
      </c>
      <c r="B1442" s="10">
        <v>-1.2060382708880699</v>
      </c>
      <c r="C1442" s="10">
        <v>-0.55886412956922304</v>
      </c>
      <c r="D1442" s="10">
        <v>6.0603067865783498</v>
      </c>
      <c r="E1442" s="10">
        <v>3.8859190799191097E-2</v>
      </c>
      <c r="F1442" s="10" t="str">
        <f>"AC132942.1"</f>
        <v>AC132942.1</v>
      </c>
      <c r="G1442" s="10" t="str">
        <f>"processed_pseudogene"</f>
        <v>processed_pseudogene</v>
      </c>
      <c r="J1442" s="14"/>
    </row>
    <row r="1443" spans="1:10" x14ac:dyDescent="0.2">
      <c r="A1443" s="10" t="str">
        <f>"ENSG00000108405.4"</f>
        <v>ENSG00000108405.4</v>
      </c>
      <c r="B1443" s="10">
        <v>-1.4288326327288401</v>
      </c>
      <c r="C1443" s="10">
        <v>-0.60702296450854698</v>
      </c>
      <c r="D1443" s="10">
        <v>6.6193293691850501</v>
      </c>
      <c r="E1443" s="10">
        <v>3.2656005109551002E-2</v>
      </c>
      <c r="F1443" s="10" t="str">
        <f>"P2RX1"</f>
        <v>P2RX1</v>
      </c>
      <c r="G1443" s="10" t="str">
        <f t="shared" ref="G1443:G1448" si="52">"protein_coding"</f>
        <v>protein_coding</v>
      </c>
      <c r="J1443" s="14"/>
    </row>
    <row r="1444" spans="1:10" x14ac:dyDescent="0.2">
      <c r="A1444" s="10" t="str">
        <f>"ENSG00000182557.8"</f>
        <v>ENSG00000182557.8</v>
      </c>
      <c r="B1444" s="10">
        <v>-1.49509848961984</v>
      </c>
      <c r="C1444" s="10">
        <v>0.119678132243246</v>
      </c>
      <c r="D1444" s="10">
        <v>7.7075897826510502</v>
      </c>
      <c r="E1444" s="10">
        <v>2.3779495316735798E-2</v>
      </c>
      <c r="F1444" s="10" t="str">
        <f>"SPNS3"</f>
        <v>SPNS3</v>
      </c>
      <c r="G1444" s="10" t="str">
        <f t="shared" si="52"/>
        <v>protein_coding</v>
      </c>
      <c r="J1444" s="14"/>
    </row>
    <row r="1445" spans="1:10" x14ac:dyDescent="0.2">
      <c r="A1445" s="10" t="str">
        <f>"ENSG00000188176.12"</f>
        <v>ENSG00000188176.12</v>
      </c>
      <c r="B1445" s="10">
        <v>-1.4957119941133299</v>
      </c>
      <c r="C1445" s="10">
        <v>3.4737145022377001</v>
      </c>
      <c r="D1445" s="10">
        <v>6.9936194059388299</v>
      </c>
      <c r="E1445" s="10">
        <v>2.9192675489314701E-2</v>
      </c>
      <c r="F1445" s="10" t="str">
        <f>"SMTNL2"</f>
        <v>SMTNL2</v>
      </c>
      <c r="G1445" s="10" t="str">
        <f t="shared" si="52"/>
        <v>protein_coding</v>
      </c>
      <c r="J1445" s="14"/>
    </row>
    <row r="1446" spans="1:10" x14ac:dyDescent="0.2">
      <c r="A1446" s="10" t="str">
        <f>"ENSG00000142484.7"</f>
        <v>ENSG00000142484.7</v>
      </c>
      <c r="B1446" s="10">
        <v>1.9300583052843101</v>
      </c>
      <c r="C1446" s="10">
        <v>6.1249188941978101</v>
      </c>
      <c r="D1446" s="10">
        <v>19.619264272357501</v>
      </c>
      <c r="E1446" s="10">
        <v>2.1335178584693999E-3</v>
      </c>
      <c r="F1446" s="10" t="str">
        <f>"TM4SF5"</f>
        <v>TM4SF5</v>
      </c>
      <c r="G1446" s="10" t="str">
        <f t="shared" si="52"/>
        <v>protein_coding</v>
      </c>
      <c r="J1446" s="14"/>
    </row>
    <row r="1447" spans="1:10" x14ac:dyDescent="0.2">
      <c r="A1447" s="10" t="str">
        <f>"ENSG00000182853.12"</f>
        <v>ENSG00000182853.12</v>
      </c>
      <c r="B1447" s="10">
        <v>2.0383568922307398</v>
      </c>
      <c r="C1447" s="10">
        <v>0.17167177362907601</v>
      </c>
      <c r="D1447" s="10">
        <v>23.927284455910101</v>
      </c>
      <c r="E1447" s="10">
        <v>1.1466193335435801E-3</v>
      </c>
      <c r="F1447" s="10" t="str">
        <f>"VMO1"</f>
        <v>VMO1</v>
      </c>
      <c r="G1447" s="10" t="str">
        <f t="shared" si="52"/>
        <v>protein_coding</v>
      </c>
      <c r="J1447" s="14"/>
    </row>
    <row r="1448" spans="1:10" x14ac:dyDescent="0.2">
      <c r="A1448" s="10" t="str">
        <f>"ENSG00000091592.16"</f>
        <v>ENSG00000091592.16</v>
      </c>
      <c r="B1448" s="10">
        <v>1.3579206657141101</v>
      </c>
      <c r="C1448" s="10">
        <v>4.2879635733113997</v>
      </c>
      <c r="D1448" s="10">
        <v>16.100975814219399</v>
      </c>
      <c r="E1448" s="10">
        <v>3.7840875119973601E-3</v>
      </c>
      <c r="F1448" s="10" t="str">
        <f>"NLRP1"</f>
        <v>NLRP1</v>
      </c>
      <c r="G1448" s="10" t="str">
        <f t="shared" si="52"/>
        <v>protein_coding</v>
      </c>
      <c r="J1448" s="14"/>
    </row>
    <row r="1449" spans="1:10" x14ac:dyDescent="0.2">
      <c r="A1449" s="10" t="str">
        <f>"ENSG00000282936.1"</f>
        <v>ENSG00000282936.1</v>
      </c>
      <c r="B1449" s="10">
        <v>-1.34717282074364</v>
      </c>
      <c r="C1449" s="10">
        <v>3.4066594827915999</v>
      </c>
      <c r="D1449" s="10">
        <v>21.373792742057802</v>
      </c>
      <c r="E1449" s="10">
        <v>1.6487189639794099E-3</v>
      </c>
      <c r="F1449" s="10" t="str">
        <f>"AC004706.3"</f>
        <v>AC004706.3</v>
      </c>
      <c r="G1449" s="10" t="str">
        <f>"TEC"</f>
        <v>TEC</v>
      </c>
      <c r="J1449" s="14"/>
    </row>
    <row r="1450" spans="1:10" x14ac:dyDescent="0.2">
      <c r="A1450" s="10" t="str">
        <f>"ENSG00000141505.12"</f>
        <v>ENSG00000141505.12</v>
      </c>
      <c r="B1450" s="10">
        <v>1.3050225593991001</v>
      </c>
      <c r="C1450" s="10">
        <v>7.3898660153708002</v>
      </c>
      <c r="D1450" s="10">
        <v>14.3958514735537</v>
      </c>
      <c r="E1450" s="10">
        <v>5.1614481885021097E-3</v>
      </c>
      <c r="F1450" s="10" t="str">
        <f>"ASGR1"</f>
        <v>ASGR1</v>
      </c>
      <c r="G1450" s="10" t="str">
        <f>"protein_coding"</f>
        <v>protein_coding</v>
      </c>
      <c r="J1450" s="14"/>
    </row>
    <row r="1451" spans="1:10" x14ac:dyDescent="0.2">
      <c r="A1451" s="10" t="str">
        <f>"ENSG00000169992.10"</f>
        <v>ENSG00000169992.10</v>
      </c>
      <c r="B1451" s="10">
        <v>-1.0311554315442399</v>
      </c>
      <c r="C1451" s="10">
        <v>4.1131584794067901</v>
      </c>
      <c r="D1451" s="10">
        <v>8.9396256217481795</v>
      </c>
      <c r="E1451" s="10">
        <v>1.7095481752658799E-2</v>
      </c>
      <c r="F1451" s="10" t="str">
        <f>"NLGN2"</f>
        <v>NLGN2</v>
      </c>
      <c r="G1451" s="10" t="str">
        <f>"protein_coding"</f>
        <v>protein_coding</v>
      </c>
      <c r="J1451" s="14"/>
    </row>
    <row r="1452" spans="1:10" x14ac:dyDescent="0.2">
      <c r="A1452" s="10" t="str">
        <f>"ENSG00000178977.3"</f>
        <v>ENSG00000178977.3</v>
      </c>
      <c r="B1452" s="10">
        <v>-1.0022999315941401</v>
      </c>
      <c r="C1452" s="10">
        <v>3.9269066658702698</v>
      </c>
      <c r="D1452" s="10">
        <v>6.47883746928939</v>
      </c>
      <c r="E1452" s="10">
        <v>3.4089339251223198E-2</v>
      </c>
      <c r="F1452" s="10" t="str">
        <f>"LINC00324"</f>
        <v>LINC00324</v>
      </c>
      <c r="G1452" s="10" t="str">
        <f>"lincRNA"</f>
        <v>lincRNA</v>
      </c>
      <c r="J1452" s="14"/>
    </row>
    <row r="1453" spans="1:10" x14ac:dyDescent="0.2">
      <c r="A1453" s="10" t="str">
        <f>"ENSG00000141506.13"</f>
        <v>ENSG00000141506.13</v>
      </c>
      <c r="B1453" s="10">
        <v>-3.4301548764494201</v>
      </c>
      <c r="C1453" s="10">
        <v>-1.9446985779733801</v>
      </c>
      <c r="D1453" s="10">
        <v>11.5499992141471</v>
      </c>
      <c r="E1453" s="10">
        <v>9.1799216882217198E-3</v>
      </c>
      <c r="F1453" s="10" t="str">
        <f>"PIK3R5"</f>
        <v>PIK3R5</v>
      </c>
      <c r="G1453" s="10" t="str">
        <f t="shared" ref="G1453:G1459" si="53">"protein_coding"</f>
        <v>protein_coding</v>
      </c>
      <c r="J1453" s="14"/>
    </row>
    <row r="1454" spans="1:10" x14ac:dyDescent="0.2">
      <c r="A1454" s="10" t="str">
        <f>"ENSG00000065320.9"</f>
        <v>ENSG00000065320.9</v>
      </c>
      <c r="B1454" s="10">
        <v>-1.5787962853099899</v>
      </c>
      <c r="C1454" s="10">
        <v>6.2267874741584004</v>
      </c>
      <c r="D1454" s="10">
        <v>5.8972166036170099</v>
      </c>
      <c r="E1454" s="10">
        <v>4.0945640436240598E-2</v>
      </c>
      <c r="F1454" s="10" t="str">
        <f>"NTN1"</f>
        <v>NTN1</v>
      </c>
      <c r="G1454" s="10" t="str">
        <f t="shared" si="53"/>
        <v>protein_coding</v>
      </c>
      <c r="J1454" s="14"/>
    </row>
    <row r="1455" spans="1:10" x14ac:dyDescent="0.2">
      <c r="A1455" s="10" t="str">
        <f>"ENSG00000007237.18"</f>
        <v>ENSG00000007237.18</v>
      </c>
      <c r="B1455" s="10">
        <v>-1.41966997721157</v>
      </c>
      <c r="C1455" s="10">
        <v>-0.236637990768059</v>
      </c>
      <c r="D1455" s="10">
        <v>5.2961309276140804</v>
      </c>
      <c r="E1455" s="10">
        <v>4.9981156681486297E-2</v>
      </c>
      <c r="F1455" s="10" t="str">
        <f>"GAS7"</f>
        <v>GAS7</v>
      </c>
      <c r="G1455" s="10" t="str">
        <f t="shared" si="53"/>
        <v>protein_coding</v>
      </c>
      <c r="J1455" s="14"/>
    </row>
    <row r="1456" spans="1:10" x14ac:dyDescent="0.2">
      <c r="A1456" s="10" t="str">
        <f>"ENSG00000125414.19"</f>
        <v>ENSG00000125414.19</v>
      </c>
      <c r="B1456" s="10">
        <v>-2.9643073892315202</v>
      </c>
      <c r="C1456" s="10">
        <v>-1.71533563358392</v>
      </c>
      <c r="D1456" s="10">
        <v>13.2201284693059</v>
      </c>
      <c r="E1456" s="10">
        <v>6.3144933017606096E-3</v>
      </c>
      <c r="F1456" s="10" t="str">
        <f>"MYH2"</f>
        <v>MYH2</v>
      </c>
      <c r="G1456" s="10" t="str">
        <f t="shared" si="53"/>
        <v>protein_coding</v>
      </c>
      <c r="J1456" s="14"/>
    </row>
    <row r="1457" spans="1:10" x14ac:dyDescent="0.2">
      <c r="A1457" s="10" t="str">
        <f>"ENSG00000187824.8"</f>
        <v>ENSG00000187824.8</v>
      </c>
      <c r="B1457" s="10">
        <v>1.21808734407778</v>
      </c>
      <c r="C1457" s="10">
        <v>-6.6613439274222599E-2</v>
      </c>
      <c r="D1457" s="10">
        <v>8.3317953400757894</v>
      </c>
      <c r="E1457" s="10">
        <v>1.9965973009667098E-2</v>
      </c>
      <c r="F1457" s="10" t="str">
        <f>"TMEM220"</f>
        <v>TMEM220</v>
      </c>
      <c r="G1457" s="10" t="str">
        <f t="shared" si="53"/>
        <v>protein_coding</v>
      </c>
      <c r="J1457" s="14"/>
    </row>
    <row r="1458" spans="1:10" x14ac:dyDescent="0.2">
      <c r="A1458" s="10" t="str">
        <f>"ENSG00000259024.6"</f>
        <v>ENSG00000259024.6</v>
      </c>
      <c r="B1458" s="10">
        <v>1.85832896251123</v>
      </c>
      <c r="C1458" s="10">
        <v>-1.5172501626727599</v>
      </c>
      <c r="D1458" s="10">
        <v>7.2578460691733904</v>
      </c>
      <c r="E1458" s="10">
        <v>2.6865882941196701E-2</v>
      </c>
      <c r="F1458" s="10" t="str">
        <f>"TVP23C-CDRT4"</f>
        <v>TVP23C-CDRT4</v>
      </c>
      <c r="G1458" s="10" t="str">
        <f t="shared" si="53"/>
        <v>protein_coding</v>
      </c>
      <c r="J1458" s="14"/>
    </row>
    <row r="1459" spans="1:10" x14ac:dyDescent="0.2">
      <c r="A1459" s="10" t="str">
        <f>"ENSG00000141040.15"</f>
        <v>ENSG00000141040.15</v>
      </c>
      <c r="B1459" s="10">
        <v>-2.30289847750013</v>
      </c>
      <c r="C1459" s="10">
        <v>-1.7516126270841299</v>
      </c>
      <c r="D1459" s="10">
        <v>11.832635540307599</v>
      </c>
      <c r="E1459" s="10">
        <v>8.4431082487896204E-3</v>
      </c>
      <c r="F1459" s="10" t="str">
        <f>"ZNF287"</f>
        <v>ZNF287</v>
      </c>
      <c r="G1459" s="10" t="str">
        <f t="shared" si="53"/>
        <v>protein_coding</v>
      </c>
      <c r="J1459" s="14"/>
    </row>
    <row r="1460" spans="1:10" x14ac:dyDescent="0.2">
      <c r="A1460" s="10" t="str">
        <f>"ENSG00000128438.10"</f>
        <v>ENSG00000128438.10</v>
      </c>
      <c r="B1460" s="10">
        <v>-3.0376225868398898</v>
      </c>
      <c r="C1460" s="10">
        <v>-2.15667498636072</v>
      </c>
      <c r="D1460" s="10">
        <v>6.4689300880753899</v>
      </c>
      <c r="E1460" s="10">
        <v>3.4193395364450603E-2</v>
      </c>
      <c r="F1460" s="10" t="str">
        <f>"TBC1D27P"</f>
        <v>TBC1D27P</v>
      </c>
      <c r="G1460" s="10" t="str">
        <f>"transcribed_unprocessed_pseudogene"</f>
        <v>transcribed_unprocessed_pseudogene</v>
      </c>
      <c r="J1460" s="14"/>
    </row>
    <row r="1461" spans="1:10" x14ac:dyDescent="0.2">
      <c r="A1461" s="10" t="str">
        <f>"ENSG00000205309.14"</f>
        <v>ENSG00000205309.14</v>
      </c>
      <c r="B1461" s="10">
        <v>-1.2266289992310699</v>
      </c>
      <c r="C1461" s="10">
        <v>-0.672758990838767</v>
      </c>
      <c r="D1461" s="10">
        <v>9.0469967898278405</v>
      </c>
      <c r="E1461" s="10">
        <v>1.63150834585951E-2</v>
      </c>
      <c r="F1461" s="10" t="str">
        <f>"NT5M"</f>
        <v>NT5M</v>
      </c>
      <c r="G1461" s="10" t="str">
        <f>"protein_coding"</f>
        <v>protein_coding</v>
      </c>
      <c r="J1461" s="14"/>
    </row>
    <row r="1462" spans="1:10" x14ac:dyDescent="0.2">
      <c r="A1462" s="10" t="str">
        <f>"ENSG00000168961.17"</f>
        <v>ENSG00000168961.17</v>
      </c>
      <c r="B1462" s="10">
        <v>-1.37690838277181</v>
      </c>
      <c r="C1462" s="10">
        <v>-5.6830453643584501E-2</v>
      </c>
      <c r="D1462" s="10">
        <v>5.5599202736526898</v>
      </c>
      <c r="E1462" s="10">
        <v>4.5732437332880203E-2</v>
      </c>
      <c r="F1462" s="10" t="str">
        <f>"LGALS9"</f>
        <v>LGALS9</v>
      </c>
      <c r="G1462" s="10" t="str">
        <f>"protein_coding"</f>
        <v>protein_coding</v>
      </c>
      <c r="J1462" s="14"/>
    </row>
    <row r="1463" spans="1:10" x14ac:dyDescent="0.2">
      <c r="A1463" s="10" t="str">
        <f>"ENSG00000007171.17"</f>
        <v>ENSG00000007171.17</v>
      </c>
      <c r="B1463" s="10">
        <v>2.4602151383233801</v>
      </c>
      <c r="C1463" s="10">
        <v>-0.56747077545942004</v>
      </c>
      <c r="D1463" s="10">
        <v>17.611665812542501</v>
      </c>
      <c r="E1463" s="10">
        <v>2.9289148251765802E-3</v>
      </c>
      <c r="F1463" s="10" t="str">
        <f>"NOS2"</f>
        <v>NOS2</v>
      </c>
      <c r="G1463" s="10" t="str">
        <f>"protein_coding"</f>
        <v>protein_coding</v>
      </c>
      <c r="J1463" s="14"/>
    </row>
    <row r="1464" spans="1:10" x14ac:dyDescent="0.2">
      <c r="A1464" s="10" t="str">
        <f>"ENSG00000167525.13"</f>
        <v>ENSG00000167525.13</v>
      </c>
      <c r="B1464" s="10">
        <v>-1.2077787302265399</v>
      </c>
      <c r="C1464" s="10">
        <v>0.89235278421636199</v>
      </c>
      <c r="D1464" s="10">
        <v>12.307027626240201</v>
      </c>
      <c r="E1464" s="10">
        <v>7.6760086137630202E-3</v>
      </c>
      <c r="F1464" s="10" t="str">
        <f>"PROCA1"</f>
        <v>PROCA1</v>
      </c>
      <c r="G1464" s="10" t="str">
        <f>"protein_coding"</f>
        <v>protein_coding</v>
      </c>
      <c r="J1464" s="14"/>
    </row>
    <row r="1465" spans="1:10" x14ac:dyDescent="0.2">
      <c r="A1465" s="10" t="str">
        <f>"ENSG00000160606.11"</f>
        <v>ENSG00000160606.11</v>
      </c>
      <c r="B1465" s="10">
        <v>-1.16408971245554</v>
      </c>
      <c r="C1465" s="10">
        <v>5.3527896311463596</v>
      </c>
      <c r="D1465" s="10">
        <v>14.441635355249</v>
      </c>
      <c r="E1465" s="10">
        <v>5.11694750664996E-3</v>
      </c>
      <c r="F1465" s="10" t="str">
        <f>"TLCD1"</f>
        <v>TLCD1</v>
      </c>
      <c r="G1465" s="10" t="str">
        <f>"protein_coding"</f>
        <v>protein_coding</v>
      </c>
      <c r="J1465" s="14"/>
    </row>
    <row r="1466" spans="1:10" x14ac:dyDescent="0.2">
      <c r="A1466" s="10" t="str">
        <f>"ENSG00000267729.1"</f>
        <v>ENSG00000267729.1</v>
      </c>
      <c r="B1466" s="10">
        <v>-2.4803380578880398</v>
      </c>
      <c r="C1466" s="10">
        <v>-1.3835172055486</v>
      </c>
      <c r="D1466" s="10">
        <v>5.8443212714893704</v>
      </c>
      <c r="E1466" s="10">
        <v>4.1652745666781101E-2</v>
      </c>
      <c r="F1466" s="10" t="str">
        <f>"AC010761.7"</f>
        <v>AC010761.7</v>
      </c>
      <c r="G1466" s="10" t="str">
        <f>"antisense"</f>
        <v>antisense</v>
      </c>
      <c r="J1466" s="14"/>
    </row>
    <row r="1467" spans="1:10" x14ac:dyDescent="0.2">
      <c r="A1467" s="10" t="str">
        <f>"ENSG00000168792.5"</f>
        <v>ENSG00000168792.5</v>
      </c>
      <c r="B1467" s="10">
        <v>-1.24534766479734</v>
      </c>
      <c r="C1467" s="10">
        <v>3.8945144199191901</v>
      </c>
      <c r="D1467" s="10">
        <v>9.6158582886751702</v>
      </c>
      <c r="E1467" s="10">
        <v>1.44251026989366E-2</v>
      </c>
      <c r="F1467" s="10" t="str">
        <f>"ABHD15"</f>
        <v>ABHD15</v>
      </c>
      <c r="G1467" s="10" t="str">
        <f>"protein_coding"</f>
        <v>protein_coding</v>
      </c>
      <c r="J1467" s="14"/>
    </row>
    <row r="1468" spans="1:10" x14ac:dyDescent="0.2">
      <c r="A1468" s="10" t="str">
        <f>"ENSG00000198720.13"</f>
        <v>ENSG00000198720.13</v>
      </c>
      <c r="B1468" s="10">
        <v>-1.7129933875938901</v>
      </c>
      <c r="C1468" s="10">
        <v>3.4507988724511298</v>
      </c>
      <c r="D1468" s="10">
        <v>10.6118118982636</v>
      </c>
      <c r="E1468" s="10">
        <v>1.13767161284185E-2</v>
      </c>
      <c r="F1468" s="10" t="str">
        <f>"ANKRD13B"</f>
        <v>ANKRD13B</v>
      </c>
      <c r="G1468" s="10" t="str">
        <f>"protein_coding"</f>
        <v>protein_coding</v>
      </c>
      <c r="J1468" s="14"/>
    </row>
    <row r="1469" spans="1:10" x14ac:dyDescent="0.2">
      <c r="A1469" s="10" t="str">
        <f>"ENSG00000108576.10"</f>
        <v>ENSG00000108576.10</v>
      </c>
      <c r="B1469" s="10">
        <v>2.36547654374484</v>
      </c>
      <c r="C1469" s="10">
        <v>2.4138372880515302</v>
      </c>
      <c r="D1469" s="10">
        <v>42.774924084302498</v>
      </c>
      <c r="E1469" s="10">
        <v>1.7073388375217201E-4</v>
      </c>
      <c r="F1469" s="10" t="str">
        <f>"SLC6A4"</f>
        <v>SLC6A4</v>
      </c>
      <c r="G1469" s="10" t="str">
        <f>"protein_coding"</f>
        <v>protein_coding</v>
      </c>
      <c r="J1469" s="14"/>
    </row>
    <row r="1470" spans="1:10" x14ac:dyDescent="0.2">
      <c r="A1470" s="10" t="str">
        <f>"ENSG00000184060.11"</f>
        <v>ENSG00000184060.11</v>
      </c>
      <c r="B1470" s="10">
        <v>1.11475160444173</v>
      </c>
      <c r="C1470" s="10">
        <v>1.4295994440308799</v>
      </c>
      <c r="D1470" s="10">
        <v>7.9689806120645397</v>
      </c>
      <c r="E1470" s="10">
        <v>2.2118312090094201E-2</v>
      </c>
      <c r="F1470" s="10" t="str">
        <f>"ADAP2"</f>
        <v>ADAP2</v>
      </c>
      <c r="G1470" s="10" t="str">
        <f>"protein_coding"</f>
        <v>protein_coding</v>
      </c>
      <c r="J1470" s="14"/>
    </row>
    <row r="1471" spans="1:10" x14ac:dyDescent="0.2">
      <c r="A1471" s="10" t="str">
        <f>"ENSG00000264107.1"</f>
        <v>ENSG00000264107.1</v>
      </c>
      <c r="B1471" s="10">
        <v>-1.1009898134787299</v>
      </c>
      <c r="C1471" s="10">
        <v>-0.53060205686162598</v>
      </c>
      <c r="D1471" s="10">
        <v>7.4690973989804599</v>
      </c>
      <c r="E1471" s="10">
        <v>2.5042036667958598E-2</v>
      </c>
      <c r="F1471" s="10" t="str">
        <f>"AC138207.2"</f>
        <v>AC138207.2</v>
      </c>
      <c r="G1471" s="10" t="str">
        <f>"antisense"</f>
        <v>antisense</v>
      </c>
      <c r="J1471" s="14"/>
    </row>
    <row r="1472" spans="1:10" x14ac:dyDescent="0.2">
      <c r="A1472" s="10" t="str">
        <f>"ENSG00000141314.13"</f>
        <v>ENSG00000141314.13</v>
      </c>
      <c r="B1472" s="10">
        <v>-1.4870109352965499</v>
      </c>
      <c r="C1472" s="10">
        <v>-1.2799691621883</v>
      </c>
      <c r="D1472" s="10">
        <v>6.3416481701632099</v>
      </c>
      <c r="E1472" s="10">
        <v>3.5111435146346799E-2</v>
      </c>
      <c r="F1472" s="10" t="str">
        <f>"RHBDL3"</f>
        <v>RHBDL3</v>
      </c>
      <c r="G1472" s="10" t="str">
        <f>"protein_coding"</f>
        <v>protein_coding</v>
      </c>
      <c r="J1472" s="14"/>
    </row>
    <row r="1473" spans="1:10" x14ac:dyDescent="0.2">
      <c r="A1473" s="10" t="str">
        <f>"ENSG00000092871.16"</f>
        <v>ENSG00000092871.16</v>
      </c>
      <c r="B1473" s="10">
        <v>1.01152359584881</v>
      </c>
      <c r="C1473" s="10">
        <v>4.0407373660834098</v>
      </c>
      <c r="D1473" s="10">
        <v>21.128027774347</v>
      </c>
      <c r="E1473" s="10">
        <v>1.6567231753853899E-3</v>
      </c>
      <c r="F1473" s="10" t="str">
        <f>"RFFL"</f>
        <v>RFFL</v>
      </c>
      <c r="G1473" s="10" t="str">
        <f>"protein_coding"</f>
        <v>protein_coding</v>
      </c>
      <c r="J1473" s="14"/>
    </row>
    <row r="1474" spans="1:10" x14ac:dyDescent="0.2">
      <c r="A1474" s="10" t="str">
        <f>"ENSG00000166750.10"</f>
        <v>ENSG00000166750.10</v>
      </c>
      <c r="B1474" s="10">
        <v>-1.5654608767409901</v>
      </c>
      <c r="C1474" s="10">
        <v>2.8945075749106901</v>
      </c>
      <c r="D1474" s="10">
        <v>25.060957697724</v>
      </c>
      <c r="E1474" s="10">
        <v>1.0069016475815101E-3</v>
      </c>
      <c r="F1474" s="10" t="str">
        <f>"SLFN5"</f>
        <v>SLFN5</v>
      </c>
      <c r="G1474" s="10" t="str">
        <f>"protein_coding"</f>
        <v>protein_coding</v>
      </c>
      <c r="J1474" s="14"/>
    </row>
    <row r="1475" spans="1:10" x14ac:dyDescent="0.2">
      <c r="A1475" s="10" t="str">
        <f>"ENSG00000172123.12"</f>
        <v>ENSG00000172123.12</v>
      </c>
      <c r="B1475" s="10">
        <v>-2.6627085176599001</v>
      </c>
      <c r="C1475" s="10">
        <v>-1.89312269298586</v>
      </c>
      <c r="D1475" s="10">
        <v>6.2402028028918499</v>
      </c>
      <c r="E1475" s="10">
        <v>3.6711587421551499E-2</v>
      </c>
      <c r="F1475" s="10" t="str">
        <f>"SLFN12"</f>
        <v>SLFN12</v>
      </c>
      <c r="G1475" s="10" t="str">
        <f>"protein_coding"</f>
        <v>protein_coding</v>
      </c>
      <c r="J1475" s="14"/>
    </row>
    <row r="1476" spans="1:10" x14ac:dyDescent="0.2">
      <c r="A1476" s="10" t="str">
        <f>"ENSG00000267312.1"</f>
        <v>ENSG00000267312.1</v>
      </c>
      <c r="B1476" s="10">
        <v>1.86000080814131</v>
      </c>
      <c r="C1476" s="10">
        <v>-1.68415613534319</v>
      </c>
      <c r="D1476" s="10">
        <v>6.8613528539678601</v>
      </c>
      <c r="E1476" s="10">
        <v>2.99428162531836E-2</v>
      </c>
      <c r="F1476" s="10" t="str">
        <f>"AC015911.4"</f>
        <v>AC015911.4</v>
      </c>
      <c r="G1476" s="10" t="str">
        <f>"processed_pseudogene"</f>
        <v>processed_pseudogene</v>
      </c>
      <c r="J1476" s="14"/>
    </row>
    <row r="1477" spans="1:10" x14ac:dyDescent="0.2">
      <c r="A1477" s="10" t="str">
        <f>"ENSG00000271447.6"</f>
        <v>ENSG00000271447.6</v>
      </c>
      <c r="B1477" s="10">
        <v>-1.8314991398859299</v>
      </c>
      <c r="C1477" s="10">
        <v>-1.7548916336984799</v>
      </c>
      <c r="D1477" s="10">
        <v>6.5523254928279497</v>
      </c>
      <c r="E1477" s="10">
        <v>3.28867840554165E-2</v>
      </c>
      <c r="F1477" s="10" t="str">
        <f>"MMP28"</f>
        <v>MMP28</v>
      </c>
      <c r="G1477" s="10" t="str">
        <f>"protein_coding"</f>
        <v>protein_coding</v>
      </c>
      <c r="J1477" s="14"/>
    </row>
    <row r="1478" spans="1:10" x14ac:dyDescent="0.2">
      <c r="A1478" s="10" t="str">
        <f>"ENSG00000275152.5"</f>
        <v>ENSG00000275152.5</v>
      </c>
      <c r="B1478" s="10">
        <v>3.49478731063732</v>
      </c>
      <c r="C1478" s="10">
        <v>1.2275046124364</v>
      </c>
      <c r="D1478" s="10">
        <v>38.390302791332203</v>
      </c>
      <c r="E1478" s="10">
        <v>2.47674377152109E-4</v>
      </c>
      <c r="F1478" s="10" t="str">
        <f>"CCL16"</f>
        <v>CCL16</v>
      </c>
      <c r="G1478" s="10" t="str">
        <f>"protein_coding"</f>
        <v>protein_coding</v>
      </c>
      <c r="J1478" s="14"/>
    </row>
    <row r="1479" spans="1:10" x14ac:dyDescent="0.2">
      <c r="A1479" s="10" t="str">
        <f>"ENSG00000275431.1"</f>
        <v>ENSG00000275431.1</v>
      </c>
      <c r="B1479" s="10">
        <v>1.25714633759808</v>
      </c>
      <c r="C1479" s="10">
        <v>0.48251310335346198</v>
      </c>
      <c r="D1479" s="10">
        <v>10.1185999512678</v>
      </c>
      <c r="E1479" s="10">
        <v>1.2772984961217501E-2</v>
      </c>
      <c r="F1479" s="10" t="str">
        <f>"AC244100.2"</f>
        <v>AC244100.2</v>
      </c>
      <c r="G1479" s="10" t="str">
        <f>"antisense"</f>
        <v>antisense</v>
      </c>
      <c r="J1479" s="14"/>
    </row>
    <row r="1480" spans="1:10" x14ac:dyDescent="0.2">
      <c r="A1480" s="10" t="str">
        <f>"ENSG00000275718.2"</f>
        <v>ENSG00000275718.2</v>
      </c>
      <c r="B1480" s="10">
        <v>1.4784394985179701</v>
      </c>
      <c r="C1480" s="10">
        <v>2.0399234129339399</v>
      </c>
      <c r="D1480" s="10">
        <v>27.089972430316799</v>
      </c>
      <c r="E1480" s="10">
        <v>7.4487772182174703E-4</v>
      </c>
      <c r="F1480" s="10" t="str">
        <f>"CCL15"</f>
        <v>CCL15</v>
      </c>
      <c r="G1480" s="10" t="str">
        <f>"protein_coding"</f>
        <v>protein_coding</v>
      </c>
      <c r="J1480" s="14"/>
    </row>
    <row r="1481" spans="1:10" x14ac:dyDescent="0.2">
      <c r="A1481" s="10" t="str">
        <f>"ENSG00000275944.1"</f>
        <v>ENSG00000275944.1</v>
      </c>
      <c r="B1481" s="10">
        <v>1.34727897530455</v>
      </c>
      <c r="C1481" s="10">
        <v>2.5122839949761202</v>
      </c>
      <c r="D1481" s="10">
        <v>30.253987160970699</v>
      </c>
      <c r="E1481" s="10">
        <v>5.1822161207559195E-4</v>
      </c>
      <c r="F1481" s="10" t="str">
        <f>"AC244100.3"</f>
        <v>AC244100.3</v>
      </c>
      <c r="G1481" s="10" t="str">
        <f>"antisense"</f>
        <v>antisense</v>
      </c>
      <c r="J1481" s="14"/>
    </row>
    <row r="1482" spans="1:10" x14ac:dyDescent="0.2">
      <c r="A1482" s="10" t="str">
        <f>"ENSG00000278690.1"</f>
        <v>ENSG00000278690.1</v>
      </c>
      <c r="B1482" s="10">
        <v>1.7271739461408</v>
      </c>
      <c r="C1482" s="10">
        <v>0.33271601852345301</v>
      </c>
      <c r="D1482" s="10">
        <v>15.5077184359846</v>
      </c>
      <c r="E1482" s="10">
        <v>4.2041935478065997E-3</v>
      </c>
      <c r="F1482" s="10" t="str">
        <f>"AC244100.4"</f>
        <v>AC244100.4</v>
      </c>
      <c r="G1482" s="10" t="str">
        <f>"lincRNA"</f>
        <v>lincRNA</v>
      </c>
      <c r="J1482" s="14"/>
    </row>
    <row r="1483" spans="1:10" x14ac:dyDescent="0.2">
      <c r="A1483" s="10" t="str">
        <f>"ENSG00000274736.5"</f>
        <v>ENSG00000274736.5</v>
      </c>
      <c r="B1483" s="10">
        <v>1.86631861156463</v>
      </c>
      <c r="C1483" s="10">
        <v>1.0511001930844299</v>
      </c>
      <c r="D1483" s="10">
        <v>20.552706751839199</v>
      </c>
      <c r="E1483" s="10">
        <v>1.85627531280376E-3</v>
      </c>
      <c r="F1483" s="10" t="str">
        <f>"CCL23"</f>
        <v>CCL23</v>
      </c>
      <c r="G1483" s="10" t="str">
        <f>"protein_coding"</f>
        <v>protein_coding</v>
      </c>
      <c r="J1483" s="14"/>
    </row>
    <row r="1484" spans="1:10" x14ac:dyDescent="0.2">
      <c r="A1484" s="10" t="str">
        <f>"ENSG00000274620.1"</f>
        <v>ENSG00000274620.1</v>
      </c>
      <c r="B1484" s="10">
        <v>1.76034539318746</v>
      </c>
      <c r="C1484" s="10">
        <v>-1.9215064551386301</v>
      </c>
      <c r="D1484" s="10">
        <v>6.7784669369199397</v>
      </c>
      <c r="E1484" s="10">
        <v>3.0693010360362101E-2</v>
      </c>
      <c r="F1484" s="10" t="str">
        <f>"MIR378J"</f>
        <v>MIR378J</v>
      </c>
      <c r="G1484" s="10" t="str">
        <f>"miRNA"</f>
        <v>miRNA</v>
      </c>
      <c r="J1484" s="14"/>
    </row>
    <row r="1485" spans="1:10" x14ac:dyDescent="0.2">
      <c r="A1485" s="10" t="str">
        <f>"ENSG00000277399.4"</f>
        <v>ENSG00000277399.4</v>
      </c>
      <c r="B1485" s="10">
        <v>-1.51707322494179</v>
      </c>
      <c r="C1485" s="10">
        <v>-0.50109194178449701</v>
      </c>
      <c r="D1485" s="10">
        <v>5.4521359871284103</v>
      </c>
      <c r="E1485" s="10">
        <v>4.7410700074691697E-2</v>
      </c>
      <c r="F1485" s="10" t="str">
        <f>"GPR179"</f>
        <v>GPR179</v>
      </c>
      <c r="G1485" s="10" t="str">
        <f>"protein_coding"</f>
        <v>protein_coding</v>
      </c>
      <c r="J1485" s="14"/>
    </row>
    <row r="1486" spans="1:10" x14ac:dyDescent="0.2">
      <c r="A1486" s="10" t="str">
        <f>"ENSG00000273604.1"</f>
        <v>ENSG00000273604.1</v>
      </c>
      <c r="B1486" s="10">
        <v>1.0815998480573099</v>
      </c>
      <c r="C1486" s="10">
        <v>5.1681104760670999</v>
      </c>
      <c r="D1486" s="10">
        <v>16.601537198086199</v>
      </c>
      <c r="E1486" s="10">
        <v>3.4697718862507E-3</v>
      </c>
      <c r="F1486" s="10" t="str">
        <f>"EPOP"</f>
        <v>EPOP</v>
      </c>
      <c r="G1486" s="10" t="str">
        <f>"protein_coding"</f>
        <v>protein_coding</v>
      </c>
      <c r="J1486" s="14"/>
    </row>
    <row r="1487" spans="1:10" x14ac:dyDescent="0.2">
      <c r="A1487" s="10" t="str">
        <f>"ENSG00000161381.14"</f>
        <v>ENSG00000161381.14</v>
      </c>
      <c r="B1487" s="10">
        <v>-1.4525859790286</v>
      </c>
      <c r="C1487" s="10">
        <v>-0.34206193343560298</v>
      </c>
      <c r="D1487" s="10">
        <v>6.1160942966915304</v>
      </c>
      <c r="E1487" s="10">
        <v>3.8176551400271298E-2</v>
      </c>
      <c r="F1487" s="10" t="str">
        <f>"PLXDC1"</f>
        <v>PLXDC1</v>
      </c>
      <c r="G1487" s="10" t="str">
        <f>"protein_coding"</f>
        <v>protein_coding</v>
      </c>
      <c r="J1487" s="14"/>
    </row>
    <row r="1488" spans="1:10" x14ac:dyDescent="0.2">
      <c r="A1488" s="10" t="str">
        <f>"ENSG00000273576.1"</f>
        <v>ENSG00000273576.1</v>
      </c>
      <c r="B1488" s="10">
        <v>-1.21484451092705</v>
      </c>
      <c r="C1488" s="10">
        <v>-0.13117453440443899</v>
      </c>
      <c r="D1488" s="10">
        <v>10.3916985624207</v>
      </c>
      <c r="E1488" s="10">
        <v>1.17103413869149E-2</v>
      </c>
      <c r="F1488" s="10" t="str">
        <f>"AC009283.1"</f>
        <v>AC009283.1</v>
      </c>
      <c r="G1488" s="10" t="str">
        <f>"lincRNA"</f>
        <v>lincRNA</v>
      </c>
      <c r="J1488" s="14"/>
    </row>
    <row r="1489" spans="1:10" x14ac:dyDescent="0.2">
      <c r="A1489" s="10" t="str">
        <f>"ENSG00000141738.14"</f>
        <v>ENSG00000141738.14</v>
      </c>
      <c r="B1489" s="10">
        <v>1.35902769028287</v>
      </c>
      <c r="C1489" s="10">
        <v>5.8424582110515404</v>
      </c>
      <c r="D1489" s="10">
        <v>60.416795090976898</v>
      </c>
      <c r="E1489" s="13">
        <v>4.5743864947404897E-5</v>
      </c>
      <c r="F1489" s="10" t="str">
        <f>"GRB7"</f>
        <v>GRB7</v>
      </c>
      <c r="G1489" s="10" t="str">
        <f>"protein_coding"</f>
        <v>protein_coding</v>
      </c>
      <c r="J1489" s="14"/>
    </row>
    <row r="1490" spans="1:10" x14ac:dyDescent="0.2">
      <c r="A1490" s="10" t="str">
        <f>"ENSG00000264968.1"</f>
        <v>ENSG00000264968.1</v>
      </c>
      <c r="B1490" s="10">
        <v>1.6098805542811601</v>
      </c>
      <c r="C1490" s="10">
        <v>-1.6445720060196201</v>
      </c>
      <c r="D1490" s="10">
        <v>5.5383907306310398</v>
      </c>
      <c r="E1490" s="10">
        <v>4.5558738150858397E-2</v>
      </c>
      <c r="F1490" s="10" t="str">
        <f>"AC090844.2"</f>
        <v>AC090844.2</v>
      </c>
      <c r="G1490" s="10" t="str">
        <f>"lincRNA"</f>
        <v>lincRNA</v>
      </c>
      <c r="J1490" s="14"/>
    </row>
    <row r="1491" spans="1:10" x14ac:dyDescent="0.2">
      <c r="A1491" s="10" t="str">
        <f>"ENSG00000265799.1"</f>
        <v>ENSG00000265799.1</v>
      </c>
      <c r="B1491" s="10">
        <v>-1.1664858718048099</v>
      </c>
      <c r="C1491" s="10">
        <v>1.0677018222683601</v>
      </c>
      <c r="D1491" s="10">
        <v>7.5678134193828299</v>
      </c>
      <c r="E1491" s="10">
        <v>2.4732481375812802E-2</v>
      </c>
      <c r="F1491" s="10" t="str">
        <f>"AC090844.3"</f>
        <v>AC090844.3</v>
      </c>
      <c r="G1491" s="10" t="str">
        <f>"lincRNA"</f>
        <v>lincRNA</v>
      </c>
      <c r="J1491" s="14"/>
    </row>
    <row r="1492" spans="1:10" x14ac:dyDescent="0.2">
      <c r="A1492" s="10" t="str">
        <f>"ENSG00000279199.1"</f>
        <v>ENSG00000279199.1</v>
      </c>
      <c r="B1492" s="10">
        <v>-1.3827403640984199</v>
      </c>
      <c r="C1492" s="10">
        <v>-0.82230520581524402</v>
      </c>
      <c r="D1492" s="10">
        <v>7.0360939129396796</v>
      </c>
      <c r="E1492" s="10">
        <v>2.8663291071740701E-2</v>
      </c>
      <c r="F1492" s="10" t="str">
        <f>"AC068669.1"</f>
        <v>AC068669.1</v>
      </c>
      <c r="G1492" s="10" t="str">
        <f>"TEC"</f>
        <v>TEC</v>
      </c>
      <c r="J1492" s="14"/>
    </row>
    <row r="1493" spans="1:10" x14ac:dyDescent="0.2">
      <c r="A1493" s="10" t="str">
        <f>"ENSG00000279806.1"</f>
        <v>ENSG00000279806.1</v>
      </c>
      <c r="B1493" s="10">
        <v>1.2361156170004901</v>
      </c>
      <c r="C1493" s="10">
        <v>2.4849437158985102</v>
      </c>
      <c r="D1493" s="10">
        <v>9.4752780032048491</v>
      </c>
      <c r="E1493" s="10">
        <v>1.4934485122196301E-2</v>
      </c>
      <c r="F1493" s="10" t="str">
        <f>"AC018629.1"</f>
        <v>AC018629.1</v>
      </c>
      <c r="G1493" s="10" t="str">
        <f>"TEC"</f>
        <v>TEC</v>
      </c>
      <c r="J1493" s="14"/>
    </row>
    <row r="1494" spans="1:10" x14ac:dyDescent="0.2">
      <c r="A1494" s="10" t="str">
        <f>"ENSG00000131746.13"</f>
        <v>ENSG00000131746.13</v>
      </c>
      <c r="B1494" s="10">
        <v>1.0946877492143601</v>
      </c>
      <c r="C1494" s="10">
        <v>6.6402492038506802</v>
      </c>
      <c r="D1494" s="10">
        <v>8.6749052765964692</v>
      </c>
      <c r="E1494" s="10">
        <v>1.83087697600526E-2</v>
      </c>
      <c r="F1494" s="10" t="str">
        <f>"TNS4"</f>
        <v>TNS4</v>
      </c>
      <c r="G1494" s="10" t="str">
        <f>"protein_coding"</f>
        <v>protein_coding</v>
      </c>
      <c r="J1494" s="14"/>
    </row>
    <row r="1495" spans="1:10" x14ac:dyDescent="0.2">
      <c r="A1495" s="10" t="str">
        <f>"ENSG00000266088.5"</f>
        <v>ENSG00000266088.5</v>
      </c>
      <c r="B1495" s="10">
        <v>1.5766667936540699</v>
      </c>
      <c r="C1495" s="10">
        <v>-0.67994498281803195</v>
      </c>
      <c r="D1495" s="10">
        <v>9.2554870501083908</v>
      </c>
      <c r="E1495" s="10">
        <v>1.5777065035968301E-2</v>
      </c>
      <c r="F1495" s="10" t="str">
        <f>"AC004585.1"</f>
        <v>AC004585.1</v>
      </c>
      <c r="G1495" s="10" t="str">
        <f>"lincRNA"</f>
        <v>lincRNA</v>
      </c>
      <c r="J1495" s="14"/>
    </row>
    <row r="1496" spans="1:10" x14ac:dyDescent="0.2">
      <c r="A1496" s="10" t="str">
        <f>"ENSG00000196859.7"</f>
        <v>ENSG00000196859.7</v>
      </c>
      <c r="B1496" s="10">
        <v>1.9638895797448499</v>
      </c>
      <c r="C1496" s="10">
        <v>-1.0509196979206701</v>
      </c>
      <c r="D1496" s="10">
        <v>6.0202548114477699</v>
      </c>
      <c r="E1496" s="10">
        <v>3.9358850035018697E-2</v>
      </c>
      <c r="F1496" s="10" t="str">
        <f>"KRT39"</f>
        <v>KRT39</v>
      </c>
      <c r="G1496" s="10" t="str">
        <f t="shared" ref="G1496:G1503" si="54">"protein_coding"</f>
        <v>protein_coding</v>
      </c>
      <c r="J1496" s="14"/>
    </row>
    <row r="1497" spans="1:10" x14ac:dyDescent="0.2">
      <c r="A1497" s="10" t="str">
        <f>"ENSG00000184502.4"</f>
        <v>ENSG00000184502.4</v>
      </c>
      <c r="B1497" s="10">
        <v>-1.7781527012592799</v>
      </c>
      <c r="C1497" s="10">
        <v>2.7683810379312201</v>
      </c>
      <c r="D1497" s="10">
        <v>7.8147163291956803</v>
      </c>
      <c r="E1497" s="10">
        <v>2.3080288626392501E-2</v>
      </c>
      <c r="F1497" s="10" t="str">
        <f>"GAST"</f>
        <v>GAST</v>
      </c>
      <c r="G1497" s="10" t="str">
        <f t="shared" si="54"/>
        <v>protein_coding</v>
      </c>
      <c r="J1497" s="14"/>
    </row>
    <row r="1498" spans="1:10" x14ac:dyDescent="0.2">
      <c r="A1498" s="10" t="str">
        <f>"ENSG00000173805.15"</f>
        <v>ENSG00000173805.15</v>
      </c>
      <c r="B1498" s="10">
        <v>-1.46670771306571</v>
      </c>
      <c r="C1498" s="10">
        <v>4.08534053377661</v>
      </c>
      <c r="D1498" s="10">
        <v>9.4370522596078708</v>
      </c>
      <c r="E1498" s="10">
        <v>1.5076887495803E-2</v>
      </c>
      <c r="F1498" s="10" t="str">
        <f>"HAP1"</f>
        <v>HAP1</v>
      </c>
      <c r="G1498" s="10" t="str">
        <f t="shared" si="54"/>
        <v>protein_coding</v>
      </c>
      <c r="J1498" s="14"/>
    </row>
    <row r="1499" spans="1:10" x14ac:dyDescent="0.2">
      <c r="A1499" s="10" t="str">
        <f>"ENSG00000089558.9"</f>
        <v>ENSG00000089558.9</v>
      </c>
      <c r="B1499" s="10">
        <v>-1.75633927099823</v>
      </c>
      <c r="C1499" s="10">
        <v>1.8085330133850901</v>
      </c>
      <c r="D1499" s="10">
        <v>9.7836624146131204</v>
      </c>
      <c r="E1499" s="10">
        <v>1.3845317026902599E-2</v>
      </c>
      <c r="F1499" s="10" t="str">
        <f>"KCNH4"</f>
        <v>KCNH4</v>
      </c>
      <c r="G1499" s="10" t="str">
        <f t="shared" si="54"/>
        <v>protein_coding</v>
      </c>
      <c r="J1499" s="14"/>
    </row>
    <row r="1500" spans="1:10" x14ac:dyDescent="0.2">
      <c r="A1500" s="10" t="str">
        <f>"ENSG00000184451.5"</f>
        <v>ENSG00000184451.5</v>
      </c>
      <c r="B1500" s="10">
        <v>1.5077631117505099</v>
      </c>
      <c r="C1500" s="10">
        <v>-1.4221770553097199</v>
      </c>
      <c r="D1500" s="10">
        <v>6.0085197285299099</v>
      </c>
      <c r="E1500" s="10">
        <v>3.9031978783588397E-2</v>
      </c>
      <c r="F1500" s="10" t="str">
        <f>"CCR10"</f>
        <v>CCR10</v>
      </c>
      <c r="G1500" s="10" t="str">
        <f t="shared" si="54"/>
        <v>protein_coding</v>
      </c>
      <c r="J1500" s="14"/>
    </row>
    <row r="1501" spans="1:10" x14ac:dyDescent="0.2">
      <c r="A1501" s="10" t="str">
        <f>"ENSG00000126562.17"</f>
        <v>ENSG00000126562.17</v>
      </c>
      <c r="B1501" s="10">
        <v>1.8044597832459599</v>
      </c>
      <c r="C1501" s="10">
        <v>3.3265242530721801</v>
      </c>
      <c r="D1501" s="10">
        <v>76.2000669622998</v>
      </c>
      <c r="E1501" s="13">
        <v>1.9314823372720998E-5</v>
      </c>
      <c r="F1501" s="10" t="str">
        <f>"WNK4"</f>
        <v>WNK4</v>
      </c>
      <c r="G1501" s="10" t="str">
        <f t="shared" si="54"/>
        <v>protein_coding</v>
      </c>
      <c r="J1501" s="14"/>
    </row>
    <row r="1502" spans="1:10" x14ac:dyDescent="0.2">
      <c r="A1502" s="10" t="str">
        <f>"ENSG00000131482.9"</f>
        <v>ENSG00000131482.9</v>
      </c>
      <c r="B1502" s="10">
        <v>2.8183777922046498</v>
      </c>
      <c r="C1502" s="10">
        <v>1.0529191396936699</v>
      </c>
      <c r="D1502" s="10">
        <v>13.253074196984</v>
      </c>
      <c r="E1502" s="10">
        <v>6.4475895701638503E-3</v>
      </c>
      <c r="F1502" s="10" t="str">
        <f>"G6PC"</f>
        <v>G6PC</v>
      </c>
      <c r="G1502" s="10" t="str">
        <f t="shared" si="54"/>
        <v>protein_coding</v>
      </c>
      <c r="J1502" s="14"/>
    </row>
    <row r="1503" spans="1:10" x14ac:dyDescent="0.2">
      <c r="A1503" s="10" t="str">
        <f>"ENSG00000184988.8"</f>
        <v>ENSG00000184988.8</v>
      </c>
      <c r="B1503" s="10">
        <v>1.6054809774485901</v>
      </c>
      <c r="C1503" s="10">
        <v>3.59137303459149</v>
      </c>
      <c r="D1503" s="10">
        <v>61.963875346918798</v>
      </c>
      <c r="E1503" s="13">
        <v>4.16831139634979E-5</v>
      </c>
      <c r="F1503" s="10" t="str">
        <f>"TMEM106A"</f>
        <v>TMEM106A</v>
      </c>
      <c r="G1503" s="10" t="str">
        <f t="shared" si="54"/>
        <v>protein_coding</v>
      </c>
      <c r="J1503" s="14"/>
    </row>
    <row r="1504" spans="1:10" x14ac:dyDescent="0.2">
      <c r="A1504" s="10" t="str">
        <f>"ENSG00000279602.1"</f>
        <v>ENSG00000279602.1</v>
      </c>
      <c r="B1504" s="10">
        <v>-1.1822041382053601</v>
      </c>
      <c r="C1504" s="10">
        <v>3.1016095853985099</v>
      </c>
      <c r="D1504" s="10">
        <v>11.967363692158401</v>
      </c>
      <c r="E1504" s="10">
        <v>8.41434096366858E-3</v>
      </c>
      <c r="F1504" s="10" t="str">
        <f>"AC109326.1"</f>
        <v>AC109326.1</v>
      </c>
      <c r="G1504" s="10" t="str">
        <f>"TEC"</f>
        <v>TEC</v>
      </c>
      <c r="J1504" s="14"/>
    </row>
    <row r="1505" spans="1:10" x14ac:dyDescent="0.2">
      <c r="A1505" s="10" t="str">
        <f>"ENSG00000260793.2"</f>
        <v>ENSG00000260793.2</v>
      </c>
      <c r="B1505" s="10">
        <v>-1.399036588288</v>
      </c>
      <c r="C1505" s="10">
        <v>0.30217177647545002</v>
      </c>
      <c r="D1505" s="10">
        <v>13.8151718569572</v>
      </c>
      <c r="E1505" s="10">
        <v>5.60072764986729E-3</v>
      </c>
      <c r="F1505" s="10" t="str">
        <f>"AC003102.1"</f>
        <v>AC003102.1</v>
      </c>
      <c r="G1505" s="10" t="str">
        <f>"antisense"</f>
        <v>antisense</v>
      </c>
      <c r="J1505" s="14"/>
    </row>
    <row r="1506" spans="1:10" x14ac:dyDescent="0.2">
      <c r="A1506" s="10" t="str">
        <f>"ENSG00000005961.18"</f>
        <v>ENSG00000005961.18</v>
      </c>
      <c r="B1506" s="10">
        <v>-1.14129989525688</v>
      </c>
      <c r="C1506" s="10">
        <v>2.4810034081761101</v>
      </c>
      <c r="D1506" s="10">
        <v>5.6066651916829402</v>
      </c>
      <c r="E1506" s="10">
        <v>4.5028092074851901E-2</v>
      </c>
      <c r="F1506" s="10" t="str">
        <f>"ITGA2B"</f>
        <v>ITGA2B</v>
      </c>
      <c r="G1506" s="10" t="str">
        <f>"protein_coding"</f>
        <v>protein_coding</v>
      </c>
      <c r="J1506" s="14"/>
    </row>
    <row r="1507" spans="1:10" x14ac:dyDescent="0.2">
      <c r="A1507" s="10" t="str">
        <f>"ENSG00000073670.14"</f>
        <v>ENSG00000073670.14</v>
      </c>
      <c r="B1507" s="10">
        <v>-1.6940622973211701</v>
      </c>
      <c r="C1507" s="10">
        <v>1.67232473812191</v>
      </c>
      <c r="D1507" s="10">
        <v>16.9671479114546</v>
      </c>
      <c r="E1507" s="10">
        <v>3.2606331266398902E-3</v>
      </c>
      <c r="F1507" s="10" t="str">
        <f>"ADAM11"</f>
        <v>ADAM11</v>
      </c>
      <c r="G1507" s="10" t="str">
        <f>"protein_coding"</f>
        <v>protein_coding</v>
      </c>
      <c r="J1507" s="14"/>
    </row>
    <row r="1508" spans="1:10" x14ac:dyDescent="0.2">
      <c r="A1508" s="10" t="str">
        <f>"ENSG00000131095.13"</f>
        <v>ENSG00000131095.13</v>
      </c>
      <c r="B1508" s="10">
        <v>-1.4012594828518901</v>
      </c>
      <c r="C1508" s="10">
        <v>-0.171632111959237</v>
      </c>
      <c r="D1508" s="10">
        <v>8.0157101208856592</v>
      </c>
      <c r="E1508" s="10">
        <v>2.18369235757092E-2</v>
      </c>
      <c r="F1508" s="10" t="str">
        <f>"GFAP"</f>
        <v>GFAP</v>
      </c>
      <c r="G1508" s="10" t="str">
        <f>"protein_coding"</f>
        <v>protein_coding</v>
      </c>
      <c r="J1508" s="14"/>
    </row>
    <row r="1509" spans="1:10" x14ac:dyDescent="0.2">
      <c r="A1509" s="10" t="str">
        <f>"ENSG00000131094.4"</f>
        <v>ENSG00000131094.4</v>
      </c>
      <c r="B1509" s="10">
        <v>-2.3307888761488198</v>
      </c>
      <c r="C1509" s="10">
        <v>-8.7747062358777099E-3</v>
      </c>
      <c r="D1509" s="10">
        <v>26.631607708972499</v>
      </c>
      <c r="E1509" s="10">
        <v>8.2208909388435301E-4</v>
      </c>
      <c r="F1509" s="10" t="str">
        <f>"C1QL1"</f>
        <v>C1QL1</v>
      </c>
      <c r="G1509" s="10" t="str">
        <f>"protein_coding"</f>
        <v>protein_coding</v>
      </c>
      <c r="J1509" s="14"/>
    </row>
    <row r="1510" spans="1:10" x14ac:dyDescent="0.2">
      <c r="A1510" s="10" t="str">
        <f>"ENSG00000236234.1"</f>
        <v>ENSG00000236234.1</v>
      </c>
      <c r="B1510" s="10">
        <v>-2.71711235481453</v>
      </c>
      <c r="C1510" s="10">
        <v>-1.21957710174905</v>
      </c>
      <c r="D1510" s="10">
        <v>11.9722295334577</v>
      </c>
      <c r="E1510" s="10">
        <v>8.4055765034772491E-3</v>
      </c>
      <c r="F1510" s="10" t="str">
        <f>"AC091132.2"</f>
        <v>AC091132.2</v>
      </c>
      <c r="G1510" s="10" t="str">
        <f>"antisense"</f>
        <v>antisense</v>
      </c>
      <c r="J1510" s="14"/>
    </row>
    <row r="1511" spans="1:10" x14ac:dyDescent="0.2">
      <c r="A1511" s="10" t="str">
        <f>"ENSG00000108379.10"</f>
        <v>ENSG00000108379.10</v>
      </c>
      <c r="B1511" s="10">
        <v>-1.30246853732924</v>
      </c>
      <c r="C1511" s="10">
        <v>4.0455825219615802</v>
      </c>
      <c r="D1511" s="10">
        <v>30.190270750629701</v>
      </c>
      <c r="E1511" s="10">
        <v>5.5328833596072699E-4</v>
      </c>
      <c r="F1511" s="10" t="str">
        <f>"WNT3"</f>
        <v>WNT3</v>
      </c>
      <c r="G1511" s="10" t="str">
        <f t="shared" ref="G1511:G1516" si="55">"protein_coding"</f>
        <v>protein_coding</v>
      </c>
      <c r="J1511" s="14"/>
    </row>
    <row r="1512" spans="1:10" x14ac:dyDescent="0.2">
      <c r="A1512" s="10" t="str">
        <f>"ENSG00000158955.11"</f>
        <v>ENSG00000158955.11</v>
      </c>
      <c r="B1512" s="10">
        <v>-1.3756294883551199</v>
      </c>
      <c r="C1512" s="10">
        <v>-0.65340514568672003</v>
      </c>
      <c r="D1512" s="10">
        <v>6.10710051914233</v>
      </c>
      <c r="E1512" s="10">
        <v>3.8285569083516199E-2</v>
      </c>
      <c r="F1512" s="10" t="str">
        <f>"WNT9B"</f>
        <v>WNT9B</v>
      </c>
      <c r="G1512" s="10" t="str">
        <f t="shared" si="55"/>
        <v>protein_coding</v>
      </c>
      <c r="J1512" s="14"/>
    </row>
    <row r="1513" spans="1:10" x14ac:dyDescent="0.2">
      <c r="A1513" s="10" t="str">
        <f>"ENSG00000189120.5"</f>
        <v>ENSG00000189120.5</v>
      </c>
      <c r="B1513" s="10">
        <v>-1.2109421540832099</v>
      </c>
      <c r="C1513" s="10">
        <v>2.6741667607478399</v>
      </c>
      <c r="D1513" s="10">
        <v>6.9925392264426698</v>
      </c>
      <c r="E1513" s="10">
        <v>2.9201984059829801E-2</v>
      </c>
      <c r="F1513" s="10" t="str">
        <f>"SP6"</f>
        <v>SP6</v>
      </c>
      <c r="G1513" s="10" t="str">
        <f t="shared" si="55"/>
        <v>protein_coding</v>
      </c>
      <c r="J1513" s="14"/>
    </row>
    <row r="1514" spans="1:10" x14ac:dyDescent="0.2">
      <c r="A1514" s="10" t="str">
        <f>"ENSG00000167080.8"</f>
        <v>ENSG00000167080.8</v>
      </c>
      <c r="B1514" s="10">
        <v>-1.08193262014046</v>
      </c>
      <c r="C1514" s="10">
        <v>1.1164448553569499</v>
      </c>
      <c r="D1514" s="10">
        <v>7.31484420423934</v>
      </c>
      <c r="E1514" s="10">
        <v>2.6583096000619501E-2</v>
      </c>
      <c r="F1514" s="10" t="str">
        <f>"B4GALNT2"</f>
        <v>B4GALNT2</v>
      </c>
      <c r="G1514" s="10" t="str">
        <f t="shared" si="55"/>
        <v>protein_coding</v>
      </c>
      <c r="J1514" s="14"/>
    </row>
    <row r="1515" spans="1:10" x14ac:dyDescent="0.2">
      <c r="A1515" s="10" t="str">
        <f>"ENSG00000108813.11"</f>
        <v>ENSG00000108813.11</v>
      </c>
      <c r="B1515" s="10">
        <v>-1.44998356380423</v>
      </c>
      <c r="C1515" s="10">
        <v>1.4519568634077999</v>
      </c>
      <c r="D1515" s="10">
        <v>7.9143959468860299</v>
      </c>
      <c r="E1515" s="10">
        <v>2.2452814017944599E-2</v>
      </c>
      <c r="F1515" s="10" t="str">
        <f>"DLX4"</f>
        <v>DLX4</v>
      </c>
      <c r="G1515" s="10" t="str">
        <f t="shared" si="55"/>
        <v>protein_coding</v>
      </c>
      <c r="J1515" s="14"/>
    </row>
    <row r="1516" spans="1:10" x14ac:dyDescent="0.2">
      <c r="A1516" s="10" t="str">
        <f>"ENSG00000006283.18"</f>
        <v>ENSG00000006283.18</v>
      </c>
      <c r="B1516" s="10">
        <v>-2.0412869001392702</v>
      </c>
      <c r="C1516" s="10">
        <v>1.3056893762203601</v>
      </c>
      <c r="D1516" s="10">
        <v>5.8346589735675103</v>
      </c>
      <c r="E1516" s="10">
        <v>4.1783581286256199E-2</v>
      </c>
      <c r="F1516" s="10" t="str">
        <f>"CACNA1G"</f>
        <v>CACNA1G</v>
      </c>
      <c r="G1516" s="10" t="str">
        <f t="shared" si="55"/>
        <v>protein_coding</v>
      </c>
      <c r="J1516" s="14"/>
    </row>
    <row r="1517" spans="1:10" x14ac:dyDescent="0.2">
      <c r="A1517" s="10" t="str">
        <f>"ENSG00000247011.2"</f>
        <v>ENSG00000247011.2</v>
      </c>
      <c r="B1517" s="10">
        <v>1.1724756561404399</v>
      </c>
      <c r="C1517" s="10">
        <v>-0.416220055222702</v>
      </c>
      <c r="D1517" s="10">
        <v>7.1420240647892301</v>
      </c>
      <c r="E1517" s="10">
        <v>2.7646410123262799E-2</v>
      </c>
      <c r="F1517" s="10" t="str">
        <f>"AC005920.1"</f>
        <v>AC005920.1</v>
      </c>
      <c r="G1517" s="10" t="str">
        <f>"lincRNA"</f>
        <v>lincRNA</v>
      </c>
      <c r="J1517" s="14"/>
    </row>
    <row r="1518" spans="1:10" x14ac:dyDescent="0.2">
      <c r="A1518" s="10" t="str">
        <f>"ENSG00000011052.21"</f>
        <v>ENSG00000011052.21</v>
      </c>
      <c r="B1518" s="10">
        <v>-1.2216150049772101</v>
      </c>
      <c r="C1518" s="10">
        <v>0.24046406486067801</v>
      </c>
      <c r="D1518" s="10">
        <v>8.7186649749283394</v>
      </c>
      <c r="E1518" s="10">
        <v>1.8100901636201899E-2</v>
      </c>
      <c r="F1518" s="10" t="str">
        <f>"NME1-NME2"</f>
        <v>NME1-NME2</v>
      </c>
      <c r="G1518" s="10" t="str">
        <f>"protein_coding"</f>
        <v>protein_coding</v>
      </c>
      <c r="J1518" s="14"/>
    </row>
    <row r="1519" spans="1:10" x14ac:dyDescent="0.2">
      <c r="A1519" s="10" t="str">
        <f>"ENSG00000279207.1"</f>
        <v>ENSG00000279207.1</v>
      </c>
      <c r="B1519" s="10">
        <v>-1.1883560106628701</v>
      </c>
      <c r="C1519" s="10">
        <v>1.86209643417743</v>
      </c>
      <c r="D1519" s="10">
        <v>13.629700809180701</v>
      </c>
      <c r="E1519" s="10">
        <v>5.98342546395447E-3</v>
      </c>
      <c r="F1519" s="10" t="str">
        <f>"AC015813.6"</f>
        <v>AC015813.6</v>
      </c>
      <c r="G1519" s="10" t="str">
        <f>"TEC"</f>
        <v>TEC</v>
      </c>
      <c r="J1519" s="14"/>
    </row>
    <row r="1520" spans="1:10" x14ac:dyDescent="0.2">
      <c r="A1520" s="10" t="str">
        <f>"ENSG00000108387.14"</f>
        <v>ENSG00000108387.14</v>
      </c>
      <c r="B1520" s="10">
        <v>-1.1147659862538899</v>
      </c>
      <c r="C1520" s="10">
        <v>1.6981753666574799</v>
      </c>
      <c r="D1520" s="10">
        <v>5.9439729335773404</v>
      </c>
      <c r="E1520" s="10">
        <v>4.0333240852109702E-2</v>
      </c>
      <c r="F1520" s="10" t="str">
        <f>"SEPT4"</f>
        <v>SEPT4</v>
      </c>
      <c r="G1520" s="10" t="str">
        <f>"protein_coding"</f>
        <v>protein_coding</v>
      </c>
      <c r="J1520" s="14"/>
    </row>
    <row r="1521" spans="1:10" x14ac:dyDescent="0.2">
      <c r="A1521" s="10" t="str">
        <f>"ENSG00000011028.14"</f>
        <v>ENSG00000011028.14</v>
      </c>
      <c r="B1521" s="10">
        <v>-1.9639059579262399</v>
      </c>
      <c r="C1521" s="10">
        <v>3.4911887842578899</v>
      </c>
      <c r="D1521" s="10">
        <v>8.2745554765759692</v>
      </c>
      <c r="E1521" s="10">
        <v>2.0357348369767499E-2</v>
      </c>
      <c r="F1521" s="10" t="str">
        <f>"AC080038.1"</f>
        <v>AC080038.1</v>
      </c>
      <c r="G1521" s="10" t="str">
        <f>"protein_coding"</f>
        <v>protein_coding</v>
      </c>
      <c r="J1521" s="14"/>
    </row>
    <row r="1522" spans="1:10" x14ac:dyDescent="0.2">
      <c r="A1522" s="10" t="str">
        <f>"ENSG00000159640.16"</f>
        <v>ENSG00000159640.16</v>
      </c>
      <c r="B1522" s="10">
        <v>-3.22608627737513</v>
      </c>
      <c r="C1522" s="10">
        <v>-1.5600818957192399</v>
      </c>
      <c r="D1522" s="10">
        <v>11.5770445561913</v>
      </c>
      <c r="E1522" s="10">
        <v>9.1563284448451208E-3</v>
      </c>
      <c r="F1522" s="10" t="str">
        <f>"ACE"</f>
        <v>ACE</v>
      </c>
      <c r="G1522" s="10" t="str">
        <f>"protein_coding"</f>
        <v>protein_coding</v>
      </c>
      <c r="J1522" s="14"/>
    </row>
    <row r="1523" spans="1:10" x14ac:dyDescent="0.2">
      <c r="A1523" s="10" t="str">
        <f>"ENSG00000279369.1"</f>
        <v>ENSG00000279369.1</v>
      </c>
      <c r="B1523" s="10">
        <v>-1.8985923586481801</v>
      </c>
      <c r="C1523" s="10">
        <v>-0.68105559524444303</v>
      </c>
      <c r="D1523" s="10">
        <v>14.052726783850201</v>
      </c>
      <c r="E1523" s="10">
        <v>5.4030944198243799E-3</v>
      </c>
      <c r="F1523" s="10" t="str">
        <f>"AC046185.3"</f>
        <v>AC046185.3</v>
      </c>
      <c r="G1523" s="10" t="str">
        <f>"TEC"</f>
        <v>TEC</v>
      </c>
      <c r="J1523" s="14"/>
    </row>
    <row r="1524" spans="1:10" x14ac:dyDescent="0.2">
      <c r="A1524" s="10" t="str">
        <f>"ENSG00000136487.18"</f>
        <v>ENSG00000136487.18</v>
      </c>
      <c r="B1524" s="10">
        <v>-2.27663747313728</v>
      </c>
      <c r="C1524" s="10">
        <v>2.1781756860754502</v>
      </c>
      <c r="D1524" s="10">
        <v>13.3339716371935</v>
      </c>
      <c r="E1524" s="10">
        <v>6.3441883385800899E-3</v>
      </c>
      <c r="F1524" s="10" t="str">
        <f>"GH2"</f>
        <v>GH2</v>
      </c>
      <c r="G1524" s="10" t="str">
        <f>"protein_coding"</f>
        <v>protein_coding</v>
      </c>
      <c r="J1524" s="14"/>
    </row>
    <row r="1525" spans="1:10" x14ac:dyDescent="0.2">
      <c r="A1525" s="10" t="str">
        <f>"ENSG00000239823.2"</f>
        <v>ENSG00000239823.2</v>
      </c>
      <c r="B1525" s="10">
        <v>2.2648640898783499</v>
      </c>
      <c r="C1525" s="10">
        <v>-1.2729052682529201</v>
      </c>
      <c r="D1525" s="10">
        <v>13.854933423146701</v>
      </c>
      <c r="E1525" s="10">
        <v>5.5571081024685604E-3</v>
      </c>
      <c r="F1525" s="10" t="str">
        <f>"RF00019"</f>
        <v>RF00019</v>
      </c>
      <c r="G1525" s="10" t="str">
        <f>"misc_RNA"</f>
        <v>misc_RNA</v>
      </c>
      <c r="J1525" s="14"/>
    </row>
    <row r="1526" spans="1:10" x14ac:dyDescent="0.2">
      <c r="A1526" s="10" t="str">
        <f>"ENSG00000264057.1"</f>
        <v>ENSG00000264057.1</v>
      </c>
      <c r="B1526" s="10">
        <v>-2.1430745064097301</v>
      </c>
      <c r="C1526" s="10">
        <v>-1.60063206649887</v>
      </c>
      <c r="D1526" s="10">
        <v>5.8347367431170802</v>
      </c>
      <c r="E1526" s="10">
        <v>4.1782526140336E-2</v>
      </c>
      <c r="F1526" s="10" t="str">
        <f>"AC103810.1"</f>
        <v>AC103810.1</v>
      </c>
      <c r="G1526" s="10" t="str">
        <f>"transcribed_unprocessed_pseudogene"</f>
        <v>transcribed_unprocessed_pseudogene</v>
      </c>
      <c r="J1526" s="14"/>
    </row>
    <row r="1527" spans="1:10" x14ac:dyDescent="0.2">
      <c r="A1527" s="10" t="str">
        <f>"ENSG00000108370.17"</f>
        <v>ENSG00000108370.17</v>
      </c>
      <c r="B1527" s="10">
        <v>-1.91466795714201</v>
      </c>
      <c r="C1527" s="10">
        <v>0.90810858990322196</v>
      </c>
      <c r="D1527" s="10">
        <v>15.134122976095799</v>
      </c>
      <c r="E1527" s="10">
        <v>4.4989152944160601E-3</v>
      </c>
      <c r="F1527" s="10" t="str">
        <f>"RGS9"</f>
        <v>RGS9</v>
      </c>
      <c r="G1527" s="10" t="str">
        <f>"protein_coding"</f>
        <v>protein_coding</v>
      </c>
      <c r="J1527" s="14"/>
    </row>
    <row r="1528" spans="1:10" x14ac:dyDescent="0.2">
      <c r="A1528" s="10" t="str">
        <f>"ENSG00000141337.12"</f>
        <v>ENSG00000141337.12</v>
      </c>
      <c r="B1528" s="10">
        <v>1.0429184613749001</v>
      </c>
      <c r="C1528" s="10">
        <v>4.0360549802403103</v>
      </c>
      <c r="D1528" s="10">
        <v>24.2705863369968</v>
      </c>
      <c r="E1528" s="10">
        <v>1.06003377373638E-3</v>
      </c>
      <c r="F1528" s="10" t="str">
        <f>"ARSG"</f>
        <v>ARSG</v>
      </c>
      <c r="G1528" s="10" t="str">
        <f>"protein_coding"</f>
        <v>protein_coding</v>
      </c>
      <c r="J1528" s="14"/>
    </row>
    <row r="1529" spans="1:10" x14ac:dyDescent="0.2">
      <c r="A1529" s="10" t="str">
        <f>"ENSG00000108932.12"</f>
        <v>ENSG00000108932.12</v>
      </c>
      <c r="B1529" s="10">
        <v>2.37395711945697</v>
      </c>
      <c r="C1529" s="10">
        <v>6.2054655098176097</v>
      </c>
      <c r="D1529" s="10">
        <v>8.4355718700730602</v>
      </c>
      <c r="E1529" s="10">
        <v>1.9500384388537802E-2</v>
      </c>
      <c r="F1529" s="10" t="str">
        <f>"SLC16A6"</f>
        <v>SLC16A6</v>
      </c>
      <c r="G1529" s="10" t="str">
        <f>"protein_coding"</f>
        <v>protein_coding</v>
      </c>
      <c r="J1529" s="14"/>
    </row>
    <row r="1530" spans="1:10" x14ac:dyDescent="0.2">
      <c r="A1530" s="10" t="str">
        <f>"ENSG00000070540.13"</f>
        <v>ENSG00000070540.13</v>
      </c>
      <c r="B1530" s="10">
        <v>1.09742083582497</v>
      </c>
      <c r="C1530" s="10">
        <v>5.1007061269363696</v>
      </c>
      <c r="D1530" s="10">
        <v>12.098652629994399</v>
      </c>
      <c r="E1530" s="10">
        <v>8.1818185358843495E-3</v>
      </c>
      <c r="F1530" s="10" t="str">
        <f>"WIPI1"</f>
        <v>WIPI1</v>
      </c>
      <c r="G1530" s="10" t="str">
        <f>"protein_coding"</f>
        <v>protein_coding</v>
      </c>
      <c r="J1530" s="14"/>
    </row>
    <row r="1531" spans="1:10" x14ac:dyDescent="0.2">
      <c r="A1531" s="10" t="str">
        <f>"ENSG00000207561.1"</f>
        <v>ENSG00000207561.1</v>
      </c>
      <c r="B1531" s="10">
        <v>1.0484830772361899</v>
      </c>
      <c r="C1531" s="10">
        <v>0.999666889482973</v>
      </c>
      <c r="D1531" s="10">
        <v>13.607131030723499</v>
      </c>
      <c r="E1531" s="10">
        <v>5.8360515852955404E-3</v>
      </c>
      <c r="F1531" s="10" t="str">
        <f>"MIR635"</f>
        <v>MIR635</v>
      </c>
      <c r="G1531" s="10" t="str">
        <f>"miRNA"</f>
        <v>miRNA</v>
      </c>
      <c r="J1531" s="14"/>
    </row>
    <row r="1532" spans="1:10" x14ac:dyDescent="0.2">
      <c r="A1532" s="10" t="str">
        <f>"ENSG00000108950.12"</f>
        <v>ENSG00000108950.12</v>
      </c>
      <c r="B1532" s="10">
        <v>1.91387100634133</v>
      </c>
      <c r="C1532" s="10">
        <v>1.3406505424339501</v>
      </c>
      <c r="D1532" s="10">
        <v>33.678412001976199</v>
      </c>
      <c r="E1532" s="10">
        <v>3.68300076831813E-4</v>
      </c>
      <c r="F1532" s="10" t="str">
        <f>"FAM20A"</f>
        <v>FAM20A</v>
      </c>
      <c r="G1532" s="10" t="str">
        <f>"protein_coding"</f>
        <v>protein_coding</v>
      </c>
      <c r="J1532" s="14"/>
    </row>
    <row r="1533" spans="1:10" x14ac:dyDescent="0.2">
      <c r="A1533" s="10" t="str">
        <f>"ENSG00000141219.15"</f>
        <v>ENSG00000141219.15</v>
      </c>
      <c r="B1533" s="10">
        <v>-1.2629304633745599</v>
      </c>
      <c r="C1533" s="10">
        <v>7.29875414401159</v>
      </c>
      <c r="D1533" s="10">
        <v>19.4661520102871</v>
      </c>
      <c r="E1533" s="10">
        <v>2.1838163784316899E-3</v>
      </c>
      <c r="F1533" s="10" t="str">
        <f>"C17orf80"</f>
        <v>C17orf80</v>
      </c>
      <c r="G1533" s="10" t="str">
        <f>"protein_coding"</f>
        <v>protein_coding</v>
      </c>
      <c r="J1533" s="14"/>
    </row>
    <row r="1534" spans="1:10" x14ac:dyDescent="0.2">
      <c r="A1534" s="10" t="str">
        <f>"ENSG00000265010.1"</f>
        <v>ENSG00000265010.1</v>
      </c>
      <c r="B1534" s="10">
        <v>-1.51319110360648</v>
      </c>
      <c r="C1534" s="10">
        <v>0.107081859178627</v>
      </c>
      <c r="D1534" s="10">
        <v>10.7928592990352</v>
      </c>
      <c r="E1534" s="10">
        <v>1.0912601970479399E-2</v>
      </c>
      <c r="F1534" s="10" t="str">
        <f>"AC087301.1"</f>
        <v>AC087301.1</v>
      </c>
      <c r="G1534" s="10" t="str">
        <f>"sense_intronic"</f>
        <v>sense_intronic</v>
      </c>
      <c r="J1534" s="14"/>
    </row>
    <row r="1535" spans="1:10" x14ac:dyDescent="0.2">
      <c r="A1535" s="10" t="str">
        <f>"ENSG00000187959.9"</f>
        <v>ENSG00000187959.9</v>
      </c>
      <c r="B1535" s="10">
        <v>1.12938076046078</v>
      </c>
      <c r="C1535" s="10">
        <v>-0.48762219528877898</v>
      </c>
      <c r="D1535" s="10">
        <v>6.2516793331354403</v>
      </c>
      <c r="E1535" s="10">
        <v>3.6278801580553702E-2</v>
      </c>
      <c r="F1535" s="10" t="str">
        <f>"CPSF4L"</f>
        <v>CPSF4L</v>
      </c>
      <c r="G1535" s="10" t="str">
        <f>"protein_coding"</f>
        <v>protein_coding</v>
      </c>
      <c r="J1535" s="14"/>
    </row>
    <row r="1536" spans="1:10" x14ac:dyDescent="0.2">
      <c r="A1536" s="10" t="str">
        <f>"ENSG00000069188.17"</f>
        <v>ENSG00000069188.17</v>
      </c>
      <c r="B1536" s="10">
        <v>-1.3689591612824901</v>
      </c>
      <c r="C1536" s="10">
        <v>0.443095460656933</v>
      </c>
      <c r="D1536" s="10">
        <v>8.2333899335973708</v>
      </c>
      <c r="E1536" s="10">
        <v>2.0584014368750601E-2</v>
      </c>
      <c r="F1536" s="10" t="str">
        <f>"SDK2"</f>
        <v>SDK2</v>
      </c>
      <c r="G1536" s="10" t="str">
        <f>"protein_coding"</f>
        <v>protein_coding</v>
      </c>
      <c r="J1536" s="14"/>
    </row>
    <row r="1537" spans="1:10" x14ac:dyDescent="0.2">
      <c r="A1537" s="10" t="str">
        <f>"ENSG00000246731.2"</f>
        <v>ENSG00000246731.2</v>
      </c>
      <c r="B1537" s="10">
        <v>-2.4548127615248099</v>
      </c>
      <c r="C1537" s="10">
        <v>-1.9845565038200501</v>
      </c>
      <c r="D1537" s="10">
        <v>7.3251926907485601</v>
      </c>
      <c r="E1537" s="10">
        <v>2.63473527256886E-2</v>
      </c>
      <c r="F1537" s="10" t="str">
        <f>"AC100786.1"</f>
        <v>AC100786.1</v>
      </c>
      <c r="G1537" s="10" t="str">
        <f>"antisense"</f>
        <v>antisense</v>
      </c>
      <c r="J1537" s="14"/>
    </row>
    <row r="1538" spans="1:10" x14ac:dyDescent="0.2">
      <c r="A1538" s="10" t="str">
        <f>"ENSG00000172794.20"</f>
        <v>ENSG00000172794.20</v>
      </c>
      <c r="B1538" s="10">
        <v>-1.2071391035252499</v>
      </c>
      <c r="C1538" s="10">
        <v>4.5791883172879499</v>
      </c>
      <c r="D1538" s="10">
        <v>11.707027581185599</v>
      </c>
      <c r="E1538" s="10">
        <v>8.9004426761190806E-3</v>
      </c>
      <c r="F1538" s="10" t="str">
        <f>"RAB37"</f>
        <v>RAB37</v>
      </c>
      <c r="G1538" s="10" t="str">
        <f t="shared" ref="G1538:G1543" si="56">"protein_coding"</f>
        <v>protein_coding</v>
      </c>
      <c r="J1538" s="14"/>
    </row>
    <row r="1539" spans="1:10" x14ac:dyDescent="0.2">
      <c r="A1539" s="10" t="str">
        <f>"ENSG00000250506.7"</f>
        <v>ENSG00000250506.7</v>
      </c>
      <c r="B1539" s="10">
        <v>1.49046164794403</v>
      </c>
      <c r="C1539" s="10">
        <v>-1.4257844517702001</v>
      </c>
      <c r="D1539" s="10">
        <v>5.8398259449713299</v>
      </c>
      <c r="E1539" s="10">
        <v>4.1228727584565E-2</v>
      </c>
      <c r="F1539" s="10" t="str">
        <f>"CDK3"</f>
        <v>CDK3</v>
      </c>
      <c r="G1539" s="10" t="str">
        <f t="shared" si="56"/>
        <v>protein_coding</v>
      </c>
      <c r="J1539" s="14"/>
    </row>
    <row r="1540" spans="1:10" x14ac:dyDescent="0.2">
      <c r="A1540" s="10" t="str">
        <f>"ENSG00000186919.12"</f>
        <v>ENSG00000186919.12</v>
      </c>
      <c r="B1540" s="10">
        <v>-1.26605048200758</v>
      </c>
      <c r="C1540" s="10">
        <v>1.43488338294231</v>
      </c>
      <c r="D1540" s="10">
        <v>9.4539657155224504</v>
      </c>
      <c r="E1540" s="10">
        <v>1.50136702303773E-2</v>
      </c>
      <c r="F1540" s="10" t="str">
        <f>"ZACN"</f>
        <v>ZACN</v>
      </c>
      <c r="G1540" s="10" t="str">
        <f t="shared" si="56"/>
        <v>protein_coding</v>
      </c>
      <c r="J1540" s="14"/>
    </row>
    <row r="1541" spans="1:10" x14ac:dyDescent="0.2">
      <c r="A1541" s="10" t="str">
        <f>"ENSG00000182687.4"</f>
        <v>ENSG00000182687.4</v>
      </c>
      <c r="B1541" s="10">
        <v>-1.09041201047712</v>
      </c>
      <c r="C1541" s="10">
        <v>3.4364512491643602</v>
      </c>
      <c r="D1541" s="10">
        <v>15.550089154918799</v>
      </c>
      <c r="E1541" s="10">
        <v>4.1723130813044003E-3</v>
      </c>
      <c r="F1541" s="10" t="str">
        <f>"GALR2"</f>
        <v>GALR2</v>
      </c>
      <c r="G1541" s="10" t="str">
        <f t="shared" si="56"/>
        <v>protein_coding</v>
      </c>
      <c r="J1541" s="14"/>
    </row>
    <row r="1542" spans="1:10" x14ac:dyDescent="0.2">
      <c r="A1542" s="10" t="str">
        <f>"ENSG00000284526.1"</f>
        <v>ENSG00000284526.1</v>
      </c>
      <c r="B1542" s="10">
        <v>-1.37010253561929</v>
      </c>
      <c r="C1542" s="10">
        <v>-0.83570767148528602</v>
      </c>
      <c r="D1542" s="10">
        <v>5.7387413103769402</v>
      </c>
      <c r="E1542" s="10">
        <v>4.31111229806709E-2</v>
      </c>
      <c r="F1542" s="10" t="str">
        <f>"AC015802.6"</f>
        <v>AC015802.6</v>
      </c>
      <c r="G1542" s="10" t="str">
        <f t="shared" si="56"/>
        <v>protein_coding</v>
      </c>
      <c r="J1542" s="14"/>
    </row>
    <row r="1543" spans="1:10" x14ac:dyDescent="0.2">
      <c r="A1543" s="10" t="str">
        <f>"ENSG00000167889.12"</f>
        <v>ENSG00000167889.12</v>
      </c>
      <c r="B1543" s="10">
        <v>-1.1393483248896501</v>
      </c>
      <c r="C1543" s="10">
        <v>0.65032760799451494</v>
      </c>
      <c r="D1543" s="10">
        <v>7.3099903670706299</v>
      </c>
      <c r="E1543" s="10">
        <v>2.6620284156472902E-2</v>
      </c>
      <c r="F1543" s="10" t="str">
        <f>"MGAT5B"</f>
        <v>MGAT5B</v>
      </c>
      <c r="G1543" s="10" t="str">
        <f t="shared" si="56"/>
        <v>protein_coding</v>
      </c>
      <c r="J1543" s="14"/>
    </row>
    <row r="1544" spans="1:10" x14ac:dyDescent="0.2">
      <c r="A1544" s="10" t="str">
        <f>"ENSG00000263718.2"</f>
        <v>ENSG00000263718.2</v>
      </c>
      <c r="B1544" s="10">
        <v>-1.56608332132531</v>
      </c>
      <c r="C1544" s="10">
        <v>0.82865151892949895</v>
      </c>
      <c r="D1544" s="10">
        <v>19.671503742192399</v>
      </c>
      <c r="E1544" s="10">
        <v>2.0534609811742998E-3</v>
      </c>
      <c r="F1544" s="10" t="str">
        <f>"AC068594.1"</f>
        <v>AC068594.1</v>
      </c>
      <c r="G1544" s="10" t="str">
        <f>"lincRNA"</f>
        <v>lincRNA</v>
      </c>
      <c r="J1544" s="14"/>
    </row>
    <row r="1545" spans="1:10" x14ac:dyDescent="0.2">
      <c r="A1545" s="10" t="str">
        <f>"ENSG00000267123.6"</f>
        <v>ENSG00000267123.6</v>
      </c>
      <c r="B1545" s="10">
        <v>1.5215125458788099</v>
      </c>
      <c r="C1545" s="10">
        <v>1.9216315591614801</v>
      </c>
      <c r="D1545" s="10">
        <v>23.383389166746799</v>
      </c>
      <c r="E1545" s="10">
        <v>1.2457576870507699E-3</v>
      </c>
      <c r="F1545" s="10" t="str">
        <f>"SCAT1"</f>
        <v>SCAT1</v>
      </c>
      <c r="G1545" s="10" t="str">
        <f>"lincRNA"</f>
        <v>lincRNA</v>
      </c>
      <c r="J1545" s="14"/>
    </row>
    <row r="1546" spans="1:10" x14ac:dyDescent="0.2">
      <c r="A1546" s="10" t="str">
        <f>"ENSG00000182156.10"</f>
        <v>ENSG00000182156.10</v>
      </c>
      <c r="B1546" s="10">
        <v>1.27236182485127</v>
      </c>
      <c r="C1546" s="10">
        <v>-3.1429774638374403E-2</v>
      </c>
      <c r="D1546" s="10">
        <v>7.6458333230433899</v>
      </c>
      <c r="E1546" s="10">
        <v>2.4194729910476699E-2</v>
      </c>
      <c r="F1546" s="10" t="str">
        <f>"ENPP7"</f>
        <v>ENPP7</v>
      </c>
      <c r="G1546" s="10" t="str">
        <f>"protein_coding"</f>
        <v>protein_coding</v>
      </c>
      <c r="J1546" s="14"/>
    </row>
    <row r="1547" spans="1:10" x14ac:dyDescent="0.2">
      <c r="A1547" s="10" t="str">
        <f>"ENSG00000262772.1"</f>
        <v>ENSG00000262772.1</v>
      </c>
      <c r="B1547" s="10">
        <v>1.30968017141853</v>
      </c>
      <c r="C1547" s="10">
        <v>-0.84871966687700895</v>
      </c>
      <c r="D1547" s="10">
        <v>8.9786825610811292</v>
      </c>
      <c r="E1547" s="10">
        <v>1.6604978751956E-2</v>
      </c>
      <c r="F1547" s="10" t="str">
        <f>"LINC01977"</f>
        <v>LINC01977</v>
      </c>
      <c r="G1547" s="10" t="str">
        <f>"lincRNA"</f>
        <v>lincRNA</v>
      </c>
      <c r="J1547" s="14"/>
    </row>
    <row r="1548" spans="1:10" x14ac:dyDescent="0.2">
      <c r="A1548" s="10" t="str">
        <f>"ENSG00000171246.6"</f>
        <v>ENSG00000171246.6</v>
      </c>
      <c r="B1548" s="10">
        <v>-1.98974239132706</v>
      </c>
      <c r="C1548" s="10">
        <v>3.8769120092451601</v>
      </c>
      <c r="D1548" s="10">
        <v>7.2442679294320902</v>
      </c>
      <c r="E1548" s="10">
        <v>2.71303491013902E-2</v>
      </c>
      <c r="F1548" s="10" t="str">
        <f>"NPTX1"</f>
        <v>NPTX1</v>
      </c>
      <c r="G1548" s="10" t="str">
        <f>"protein_coding"</f>
        <v>protein_coding</v>
      </c>
      <c r="J1548" s="14"/>
    </row>
    <row r="1549" spans="1:10" x14ac:dyDescent="0.2">
      <c r="A1549" s="10" t="str">
        <f>"ENSG00000185105.5"</f>
        <v>ENSG00000185105.5</v>
      </c>
      <c r="B1549" s="10">
        <v>-3.0298862849491801</v>
      </c>
      <c r="C1549" s="10">
        <v>-2.1494305736124999</v>
      </c>
      <c r="D1549" s="10">
        <v>8.2704247965319801</v>
      </c>
      <c r="E1549" s="10">
        <v>2.0278895727936001E-2</v>
      </c>
      <c r="F1549" s="10" t="str">
        <f>"MYADML2"</f>
        <v>MYADML2</v>
      </c>
      <c r="G1549" s="10" t="str">
        <f>"protein_coding"</f>
        <v>protein_coding</v>
      </c>
      <c r="J1549" s="14"/>
    </row>
    <row r="1550" spans="1:10" x14ac:dyDescent="0.2">
      <c r="A1550" s="10" t="str">
        <f>"ENSG00000185269.12"</f>
        <v>ENSG00000185269.12</v>
      </c>
      <c r="B1550" s="10">
        <v>1.25524865440767</v>
      </c>
      <c r="C1550" s="10">
        <v>7.0850859188831397</v>
      </c>
      <c r="D1550" s="10">
        <v>9.8963606296385507</v>
      </c>
      <c r="E1550" s="10">
        <v>1.34723041349438E-2</v>
      </c>
      <c r="F1550" s="10" t="str">
        <f>"NOTUM"</f>
        <v>NOTUM</v>
      </c>
      <c r="G1550" s="10" t="str">
        <f>"protein_coding"</f>
        <v>protein_coding</v>
      </c>
      <c r="J1550" s="14"/>
    </row>
    <row r="1551" spans="1:10" x14ac:dyDescent="0.2">
      <c r="A1551" s="10" t="str">
        <f>"ENSG00000266445.1"</f>
        <v>ENSG00000266445.1</v>
      </c>
      <c r="B1551" s="10">
        <v>-2.0485658219384</v>
      </c>
      <c r="C1551" s="10">
        <v>-3.3571891417280599E-2</v>
      </c>
      <c r="D1551" s="10">
        <v>14.1708408014686</v>
      </c>
      <c r="E1551" s="10">
        <v>5.3873306293840198E-3</v>
      </c>
      <c r="F1551" s="10" t="str">
        <f>"NARF-AS1"</f>
        <v>NARF-AS1</v>
      </c>
      <c r="G1551" s="10" t="str">
        <f>"antisense"</f>
        <v>antisense</v>
      </c>
      <c r="J1551" s="14"/>
    </row>
    <row r="1552" spans="1:10" x14ac:dyDescent="0.2">
      <c r="A1552" s="10" t="str">
        <f>"ENSG00000263727.1"</f>
        <v>ENSG00000263727.1</v>
      </c>
      <c r="B1552" s="10">
        <v>-1.09161917995849</v>
      </c>
      <c r="C1552" s="10">
        <v>0.74552651616994503</v>
      </c>
      <c r="D1552" s="10">
        <v>14.0210734316626</v>
      </c>
      <c r="E1552" s="10">
        <v>5.37936945119653E-3</v>
      </c>
      <c r="F1552" s="10" t="str">
        <f>"AP001178.1"</f>
        <v>AP001178.1</v>
      </c>
      <c r="G1552" s="10" t="str">
        <f>"sense_intronic"</f>
        <v>sense_intronic</v>
      </c>
      <c r="J1552" s="14"/>
    </row>
    <row r="1553" spans="1:10" x14ac:dyDescent="0.2">
      <c r="A1553" s="10" t="str">
        <f>"ENSG00000265933.5"</f>
        <v>ENSG00000265933.5</v>
      </c>
      <c r="B1553" s="10">
        <v>2.6860411521915202</v>
      </c>
      <c r="C1553" s="10">
        <v>1.2813768208866001</v>
      </c>
      <c r="D1553" s="10">
        <v>25.334092889920399</v>
      </c>
      <c r="E1553" s="10">
        <v>9.7301765285681295E-4</v>
      </c>
      <c r="F1553" s="10" t="str">
        <f>"LINC00668"</f>
        <v>LINC00668</v>
      </c>
      <c r="G1553" s="10" t="str">
        <f>"lincRNA"</f>
        <v>lincRNA</v>
      </c>
      <c r="J1553" s="14"/>
    </row>
    <row r="1554" spans="1:10" x14ac:dyDescent="0.2">
      <c r="A1554" s="10" t="str">
        <f>"ENSG00000101680.15"</f>
        <v>ENSG00000101680.15</v>
      </c>
      <c r="B1554" s="10">
        <v>-1.7147696871321501</v>
      </c>
      <c r="C1554" s="10">
        <v>3.9600339320460201</v>
      </c>
      <c r="D1554" s="10">
        <v>21.124475225200499</v>
      </c>
      <c r="E1554" s="10">
        <v>1.7085303269301E-3</v>
      </c>
      <c r="F1554" s="10" t="str">
        <f>"LAMA1"</f>
        <v>LAMA1</v>
      </c>
      <c r="G1554" s="10" t="str">
        <f>"protein_coding"</f>
        <v>protein_coding</v>
      </c>
      <c r="J1554" s="14"/>
    </row>
    <row r="1555" spans="1:10" x14ac:dyDescent="0.2">
      <c r="A1555" s="10" t="str">
        <f>"ENSG00000141404.16"</f>
        <v>ENSG00000141404.16</v>
      </c>
      <c r="B1555" s="10">
        <v>1.3756297800822701</v>
      </c>
      <c r="C1555" s="10">
        <v>1.4219193956478899</v>
      </c>
      <c r="D1555" s="10">
        <v>19.270841152120099</v>
      </c>
      <c r="E1555" s="10">
        <v>2.16067383428524E-3</v>
      </c>
      <c r="F1555" s="10" t="str">
        <f>"GNAL"</f>
        <v>GNAL</v>
      </c>
      <c r="G1555" s="10" t="str">
        <f>"protein_coding"</f>
        <v>protein_coding</v>
      </c>
      <c r="J1555" s="14"/>
    </row>
    <row r="1556" spans="1:10" x14ac:dyDescent="0.2">
      <c r="A1556" s="10" t="str">
        <f>"ENSG00000267478.1"</f>
        <v>ENSG00000267478.1</v>
      </c>
      <c r="B1556" s="10">
        <v>-2.0829752564978499</v>
      </c>
      <c r="C1556" s="10">
        <v>0.189867942696406</v>
      </c>
      <c r="D1556" s="10">
        <v>5.8397915276598704</v>
      </c>
      <c r="E1556" s="10">
        <v>4.1714017345910702E-2</v>
      </c>
      <c r="F1556" s="10" t="str">
        <f>"AP002414.3"</f>
        <v>AP002414.3</v>
      </c>
      <c r="G1556" s="10" t="str">
        <f>"processed_pseudogene"</f>
        <v>processed_pseudogene</v>
      </c>
      <c r="J1556" s="14"/>
    </row>
    <row r="1557" spans="1:10" x14ac:dyDescent="0.2">
      <c r="A1557" s="10" t="str">
        <f>"ENSG00000267733.5"</f>
        <v>ENSG00000267733.5</v>
      </c>
      <c r="B1557" s="10">
        <v>-2.04326123747507</v>
      </c>
      <c r="C1557" s="10">
        <v>-9.5522661522541505E-2</v>
      </c>
      <c r="D1557" s="10">
        <v>5.6920557026886298</v>
      </c>
      <c r="E1557" s="10">
        <v>4.3776656857425801E-2</v>
      </c>
      <c r="F1557" s="10" t="str">
        <f>"AP005264.5"</f>
        <v>AP005264.5</v>
      </c>
      <c r="G1557" s="10" t="str">
        <f>"transcribed_processed_pseudogene"</f>
        <v>transcribed_processed_pseudogene</v>
      </c>
      <c r="J1557" s="14"/>
    </row>
    <row r="1558" spans="1:10" x14ac:dyDescent="0.2">
      <c r="A1558" s="10" t="str">
        <f>"ENSG00000267704.1"</f>
        <v>ENSG00000267704.1</v>
      </c>
      <c r="B1558" s="10">
        <v>-4.1167784238889498</v>
      </c>
      <c r="C1558" s="10">
        <v>-1.52879304698351</v>
      </c>
      <c r="D1558" s="10">
        <v>15.083648137941999</v>
      </c>
      <c r="E1558" s="10">
        <v>4.5406914509642099E-3</v>
      </c>
      <c r="F1558" s="10" t="str">
        <f>"FRG2LP"</f>
        <v>FRG2LP</v>
      </c>
      <c r="G1558" s="10" t="str">
        <f>"processed_pseudogene"</f>
        <v>processed_pseudogene</v>
      </c>
      <c r="J1558" s="14"/>
    </row>
    <row r="1559" spans="1:10" x14ac:dyDescent="0.2">
      <c r="A1559" s="10" t="str">
        <f>"ENSG00000267324.1"</f>
        <v>ENSG00000267324.1</v>
      </c>
      <c r="B1559" s="10">
        <v>-3.6338722052331698</v>
      </c>
      <c r="C1559" s="10">
        <v>0.74477824272390203</v>
      </c>
      <c r="D1559" s="10">
        <v>29.488582006657101</v>
      </c>
      <c r="E1559" s="10">
        <v>5.97479079163129E-4</v>
      </c>
      <c r="F1559" s="10" t="str">
        <f>"AC006557.2"</f>
        <v>AC006557.2</v>
      </c>
      <c r="G1559" s="10" t="str">
        <f>"processed_pseudogene"</f>
        <v>processed_pseudogene</v>
      </c>
      <c r="J1559" s="14"/>
    </row>
    <row r="1560" spans="1:10" x14ac:dyDescent="0.2">
      <c r="A1560" s="10" t="str">
        <f>"ENSG00000175319.3"</f>
        <v>ENSG00000175319.3</v>
      </c>
      <c r="B1560" s="10">
        <v>-2.4067532107524401</v>
      </c>
      <c r="C1560" s="10">
        <v>-1.2295410899535399</v>
      </c>
      <c r="D1560" s="10">
        <v>8.9687061218773003</v>
      </c>
      <c r="E1560" s="10">
        <v>1.69684445028816E-2</v>
      </c>
      <c r="F1560" s="10" t="str">
        <f>"NF1P5"</f>
        <v>NF1P5</v>
      </c>
      <c r="G1560" s="10" t="str">
        <f>"processed_pseudogene"</f>
        <v>processed_pseudogene</v>
      </c>
      <c r="J1560" s="14"/>
    </row>
    <row r="1561" spans="1:10" x14ac:dyDescent="0.2">
      <c r="A1561" s="10" t="str">
        <f>"ENSG00000154065.17"</f>
        <v>ENSG00000154065.17</v>
      </c>
      <c r="B1561" s="10">
        <v>-1.58588949483555</v>
      </c>
      <c r="C1561" s="10">
        <v>0.74532977216525198</v>
      </c>
      <c r="D1561" s="10">
        <v>5.3103322573122496</v>
      </c>
      <c r="E1561" s="10">
        <v>4.9739938372625303E-2</v>
      </c>
      <c r="F1561" s="10" t="str">
        <f>"ANKRD29"</f>
        <v>ANKRD29</v>
      </c>
      <c r="G1561" s="10" t="str">
        <f>"protein_coding"</f>
        <v>protein_coding</v>
      </c>
      <c r="J1561" s="14"/>
    </row>
    <row r="1562" spans="1:10" x14ac:dyDescent="0.2">
      <c r="A1562" s="10" t="str">
        <f>"ENSG00000154040.20"</f>
        <v>ENSG00000154040.20</v>
      </c>
      <c r="B1562" s="10">
        <v>-1.22335918041383</v>
      </c>
      <c r="C1562" s="10">
        <v>4.9299618571536996</v>
      </c>
      <c r="D1562" s="10">
        <v>17.226880696378299</v>
      </c>
      <c r="E1562" s="10">
        <v>3.1215755912154799E-3</v>
      </c>
      <c r="F1562" s="10" t="str">
        <f>"CABYR"</f>
        <v>CABYR</v>
      </c>
      <c r="G1562" s="10" t="str">
        <f>"protein_coding"</f>
        <v>protein_coding</v>
      </c>
      <c r="J1562" s="14"/>
    </row>
    <row r="1563" spans="1:10" x14ac:dyDescent="0.2">
      <c r="A1563" s="10" t="str">
        <f>"ENSG00000265750.1"</f>
        <v>ENSG00000265750.1</v>
      </c>
      <c r="B1563" s="10">
        <v>-1.43629776461014</v>
      </c>
      <c r="C1563" s="10">
        <v>0.84880898979987396</v>
      </c>
      <c r="D1563" s="10">
        <v>15.910051412107901</v>
      </c>
      <c r="E1563" s="10">
        <v>3.8617197583930801E-3</v>
      </c>
      <c r="F1563" s="10" t="str">
        <f>"AC090772.3"</f>
        <v>AC090772.3</v>
      </c>
      <c r="G1563" s="10" t="str">
        <f>"lincRNA"</f>
        <v>lincRNA</v>
      </c>
      <c r="J1563" s="14"/>
    </row>
    <row r="1564" spans="1:10" x14ac:dyDescent="0.2">
      <c r="A1564" s="10" t="str">
        <f>"ENSG00000118271.10"</f>
        <v>ENSG00000118271.10</v>
      </c>
      <c r="B1564" s="10">
        <v>3.2910985009634302</v>
      </c>
      <c r="C1564" s="10">
        <v>8.4770706481262703</v>
      </c>
      <c r="D1564" s="10">
        <v>52.363531172764297</v>
      </c>
      <c r="E1564" s="13">
        <v>8.3869965214812705E-5</v>
      </c>
      <c r="F1564" s="10" t="str">
        <f>"TTR"</f>
        <v>TTR</v>
      </c>
      <c r="G1564" s="10" t="str">
        <f>"protein_coding"</f>
        <v>protein_coding</v>
      </c>
      <c r="J1564" s="14"/>
    </row>
    <row r="1565" spans="1:10" x14ac:dyDescent="0.2">
      <c r="A1565" s="10" t="str">
        <f>"ENSG00000285095.1"</f>
        <v>ENSG00000285095.1</v>
      </c>
      <c r="B1565" s="10">
        <v>-2.25882849353028</v>
      </c>
      <c r="C1565" s="10">
        <v>-2.09337296523542</v>
      </c>
      <c r="D1565" s="10">
        <v>5.8525971941914801</v>
      </c>
      <c r="E1565" s="10">
        <v>4.1351741801699302E-2</v>
      </c>
      <c r="F1565" s="10" t="str">
        <f>"AC025887.2"</f>
        <v>AC025887.2</v>
      </c>
      <c r="G1565" s="10" t="str">
        <f>"antisense"</f>
        <v>antisense</v>
      </c>
      <c r="J1565" s="14"/>
    </row>
    <row r="1566" spans="1:10" x14ac:dyDescent="0.2">
      <c r="A1566" s="10" t="str">
        <f>"ENSG00000197705.9"</f>
        <v>ENSG00000197705.9</v>
      </c>
      <c r="B1566" s="10">
        <v>1.9486136673472001</v>
      </c>
      <c r="C1566" s="10">
        <v>4.7431478056483201</v>
      </c>
      <c r="D1566" s="10">
        <v>41.234820351169397</v>
      </c>
      <c r="E1566" s="10">
        <v>1.93815587365282E-4</v>
      </c>
      <c r="F1566" s="10" t="str">
        <f>"KLHL14"</f>
        <v>KLHL14</v>
      </c>
      <c r="G1566" s="10" t="str">
        <f t="shared" ref="G1566:G1573" si="57">"protein_coding"</f>
        <v>protein_coding</v>
      </c>
      <c r="J1566" s="14"/>
    </row>
    <row r="1567" spans="1:10" x14ac:dyDescent="0.2">
      <c r="A1567" s="10" t="str">
        <f>"ENSG00000101670.12"</f>
        <v>ENSG00000101670.12</v>
      </c>
      <c r="B1567" s="10">
        <v>-1.92598409157661</v>
      </c>
      <c r="C1567" s="10">
        <v>2.3149302528053499</v>
      </c>
      <c r="D1567" s="10">
        <v>27.9589394751209</v>
      </c>
      <c r="E1567" s="10">
        <v>7.1015662667428103E-4</v>
      </c>
      <c r="F1567" s="10" t="str">
        <f>"LIPG"</f>
        <v>LIPG</v>
      </c>
      <c r="G1567" s="10" t="str">
        <f t="shared" si="57"/>
        <v>protein_coding</v>
      </c>
      <c r="J1567" s="14"/>
    </row>
    <row r="1568" spans="1:10" x14ac:dyDescent="0.2">
      <c r="A1568" s="10" t="str">
        <f>"ENSG00000166510.14"</f>
        <v>ENSG00000166510.14</v>
      </c>
      <c r="B1568" s="10">
        <v>1.5630697241084599</v>
      </c>
      <c r="C1568" s="10">
        <v>3.0164523409311101</v>
      </c>
      <c r="D1568" s="10">
        <v>6.3385567719636402</v>
      </c>
      <c r="E1568" s="10">
        <v>3.5600910478916802E-2</v>
      </c>
      <c r="F1568" s="10" t="str">
        <f>"CCDC68"</f>
        <v>CCDC68</v>
      </c>
      <c r="G1568" s="10" t="str">
        <f t="shared" si="57"/>
        <v>protein_coding</v>
      </c>
      <c r="J1568" s="14"/>
    </row>
    <row r="1569" spans="1:10" x14ac:dyDescent="0.2">
      <c r="A1569" s="10" t="str">
        <f>"ENSG00000081923.13"</f>
        <v>ENSG00000081923.13</v>
      </c>
      <c r="B1569" s="10">
        <v>-1.0992506632168699</v>
      </c>
      <c r="C1569" s="10">
        <v>4.4761839123759604</v>
      </c>
      <c r="D1569" s="10">
        <v>13.5094142199854</v>
      </c>
      <c r="E1569" s="10">
        <v>6.1269821857271702E-3</v>
      </c>
      <c r="F1569" s="10" t="str">
        <f>"ATP8B1"</f>
        <v>ATP8B1</v>
      </c>
      <c r="G1569" s="10" t="str">
        <f t="shared" si="57"/>
        <v>protein_coding</v>
      </c>
      <c r="J1569" s="14"/>
    </row>
    <row r="1570" spans="1:10" x14ac:dyDescent="0.2">
      <c r="A1570" s="10" t="str">
        <f>"ENSG00000141682.11"</f>
        <v>ENSG00000141682.11</v>
      </c>
      <c r="B1570" s="10">
        <v>-1.1206316666218401</v>
      </c>
      <c r="C1570" s="10">
        <v>4.9154680648439797</v>
      </c>
      <c r="D1570" s="10">
        <v>19.887900104513399</v>
      </c>
      <c r="E1570" s="10">
        <v>2.0487171176998102E-3</v>
      </c>
      <c r="F1570" s="10" t="str">
        <f>"PMAIP1"</f>
        <v>PMAIP1</v>
      </c>
      <c r="G1570" s="10" t="str">
        <f t="shared" si="57"/>
        <v>protein_coding</v>
      </c>
      <c r="J1570" s="14"/>
    </row>
    <row r="1571" spans="1:10" x14ac:dyDescent="0.2">
      <c r="A1571" s="10" t="str">
        <f>"ENSG00000206075.14"</f>
        <v>ENSG00000206075.14</v>
      </c>
      <c r="B1571" s="10">
        <v>-1.3580271005856599</v>
      </c>
      <c r="C1571" s="10">
        <v>1.4909480379756199</v>
      </c>
      <c r="D1571" s="10">
        <v>5.5532837709031204</v>
      </c>
      <c r="E1571" s="10">
        <v>4.5833567494254199E-2</v>
      </c>
      <c r="F1571" s="10" t="str">
        <f>"SERPINB5"</f>
        <v>SERPINB5</v>
      </c>
      <c r="G1571" s="10" t="str">
        <f t="shared" si="57"/>
        <v>protein_coding</v>
      </c>
      <c r="J1571" s="14"/>
    </row>
    <row r="1572" spans="1:10" x14ac:dyDescent="0.2">
      <c r="A1572" s="10" t="str">
        <f>"ENSG00000171451.14"</f>
        <v>ENSG00000171451.14</v>
      </c>
      <c r="B1572" s="10">
        <v>-1.46288964230715</v>
      </c>
      <c r="C1572" s="10">
        <v>2.7764981227855801</v>
      </c>
      <c r="D1572" s="10">
        <v>30.769131291419601</v>
      </c>
      <c r="E1572" s="10">
        <v>5.0060437198342397E-4</v>
      </c>
      <c r="F1572" s="10" t="str">
        <f>"DSEL"</f>
        <v>DSEL</v>
      </c>
      <c r="G1572" s="10" t="str">
        <f t="shared" si="57"/>
        <v>protein_coding</v>
      </c>
      <c r="J1572" s="14"/>
    </row>
    <row r="1573" spans="1:10" x14ac:dyDescent="0.2">
      <c r="A1573" s="10" t="str">
        <f>"ENSG00000206052.11"</f>
        <v>ENSG00000206052.11</v>
      </c>
      <c r="B1573" s="10">
        <v>1.1983827772540501</v>
      </c>
      <c r="C1573" s="10">
        <v>3.7153640905098499</v>
      </c>
      <c r="D1573" s="10">
        <v>7.6925685581755401</v>
      </c>
      <c r="E1573" s="10">
        <v>2.38796617226281E-2</v>
      </c>
      <c r="F1573" s="10" t="str">
        <f>"DOK6"</f>
        <v>DOK6</v>
      </c>
      <c r="G1573" s="10" t="str">
        <f t="shared" si="57"/>
        <v>protein_coding</v>
      </c>
      <c r="J1573" s="14"/>
    </row>
    <row r="1574" spans="1:10" x14ac:dyDescent="0.2">
      <c r="A1574" s="10" t="str">
        <f>"ENSG00000260457.2"</f>
        <v>ENSG00000260457.2</v>
      </c>
      <c r="B1574" s="10">
        <v>-2.3247742195241701</v>
      </c>
      <c r="C1574" s="10">
        <v>-1.2882669022682001</v>
      </c>
      <c r="D1574" s="10">
        <v>5.91998244341017</v>
      </c>
      <c r="E1574" s="10">
        <v>4.0645997782682797E-2</v>
      </c>
      <c r="F1574" s="10" t="str">
        <f>"AC027458.1"</f>
        <v>AC027458.1</v>
      </c>
      <c r="G1574" s="10" t="str">
        <f>"lincRNA"</f>
        <v>lincRNA</v>
      </c>
      <c r="J1574" s="14"/>
    </row>
    <row r="1575" spans="1:10" x14ac:dyDescent="0.2">
      <c r="A1575" s="10" t="str">
        <f>"ENSG00000206043.6"</f>
        <v>ENSG00000206043.6</v>
      </c>
      <c r="B1575" s="10">
        <v>-2.1552249678856099</v>
      </c>
      <c r="C1575" s="10">
        <v>-1.5962809635172699</v>
      </c>
      <c r="D1575" s="10">
        <v>7.1004325200562199</v>
      </c>
      <c r="E1575" s="10">
        <v>2.8290424245868601E-2</v>
      </c>
      <c r="F1575" s="10" t="str">
        <f>"C18orf63"</f>
        <v>C18orf63</v>
      </c>
      <c r="G1575" s="10" t="str">
        <f>"protein_coding"</f>
        <v>protein_coding</v>
      </c>
      <c r="J1575" s="14"/>
    </row>
    <row r="1576" spans="1:10" x14ac:dyDescent="0.2">
      <c r="A1576" s="10" t="str">
        <f>"ENSG00000187773.8"</f>
        <v>ENSG00000187773.8</v>
      </c>
      <c r="B1576" s="10">
        <v>-1.8609766114989801</v>
      </c>
      <c r="C1576" s="10">
        <v>0.18032088971806101</v>
      </c>
      <c r="D1576" s="10">
        <v>12.562704957099999</v>
      </c>
      <c r="E1576" s="10">
        <v>7.4218516346313901E-3</v>
      </c>
      <c r="F1576" s="10" t="str">
        <f>"DIPK1C"</f>
        <v>DIPK1C</v>
      </c>
      <c r="G1576" s="10" t="str">
        <f>"protein_coding"</f>
        <v>protein_coding</v>
      </c>
      <c r="J1576" s="14"/>
    </row>
    <row r="1577" spans="1:10" x14ac:dyDescent="0.2">
      <c r="A1577" s="10" t="str">
        <f>"ENSG00000264278.1"</f>
        <v>ENSG00000264278.1</v>
      </c>
      <c r="B1577" s="10">
        <v>-1.3727022225344301</v>
      </c>
      <c r="C1577" s="10">
        <v>8.1272920215618494E-2</v>
      </c>
      <c r="D1577" s="10">
        <v>14.8699503487277</v>
      </c>
      <c r="E1577" s="10">
        <v>4.5742673484166002E-3</v>
      </c>
      <c r="F1577" s="10" t="str">
        <f>"ZNF236-DT"</f>
        <v>ZNF236-DT</v>
      </c>
      <c r="G1577" s="10" t="str">
        <f>"lincRNA"</f>
        <v>lincRNA</v>
      </c>
      <c r="J1577" s="14"/>
    </row>
    <row r="1578" spans="1:10" x14ac:dyDescent="0.2">
      <c r="A1578" s="10" t="str">
        <f>"ENSG00000099822.3"</f>
        <v>ENSG00000099822.3</v>
      </c>
      <c r="B1578" s="10">
        <v>-2.0925001506437901</v>
      </c>
      <c r="C1578" s="10">
        <v>2.4595160732903301</v>
      </c>
      <c r="D1578" s="10">
        <v>9.0091317603772403</v>
      </c>
      <c r="E1578" s="10">
        <v>1.6793812364331799E-2</v>
      </c>
      <c r="F1578" s="10" t="str">
        <f>"HCN2"</f>
        <v>HCN2</v>
      </c>
      <c r="G1578" s="10" t="str">
        <f>"protein_coding"</f>
        <v>protein_coding</v>
      </c>
      <c r="J1578" s="14"/>
    </row>
    <row r="1579" spans="1:10" x14ac:dyDescent="0.2">
      <c r="A1579" s="10" t="str">
        <f>"ENSG00000267666.2"</f>
        <v>ENSG00000267666.2</v>
      </c>
      <c r="B1579" s="10">
        <v>-2.4402811391025798</v>
      </c>
      <c r="C1579" s="10">
        <v>-1.9930320441718099</v>
      </c>
      <c r="D1579" s="10">
        <v>5.3636216597256299</v>
      </c>
      <c r="E1579" s="10">
        <v>4.8847892907383998E-2</v>
      </c>
      <c r="F1579" s="10" t="str">
        <f>"AC004156.1"</f>
        <v>AC004156.1</v>
      </c>
      <c r="G1579" s="10" t="str">
        <f>"lincRNA"</f>
        <v>lincRNA</v>
      </c>
      <c r="J1579" s="14"/>
    </row>
    <row r="1580" spans="1:10" x14ac:dyDescent="0.2">
      <c r="A1580" s="10" t="str">
        <f>"ENSG00000070404.10"</f>
        <v>ENSG00000070404.10</v>
      </c>
      <c r="B1580" s="10">
        <v>-1.4041377241883799</v>
      </c>
      <c r="C1580" s="10">
        <v>7.1681541030869704</v>
      </c>
      <c r="D1580" s="10">
        <v>8.9240060394556906</v>
      </c>
      <c r="E1580" s="10">
        <v>1.71642093585729E-2</v>
      </c>
      <c r="F1580" s="10" t="str">
        <f>"FSTL3"</f>
        <v>FSTL3</v>
      </c>
      <c r="G1580" s="10" t="str">
        <f t="shared" ref="G1580:G1586" si="58">"protein_coding"</f>
        <v>protein_coding</v>
      </c>
      <c r="J1580" s="14"/>
    </row>
    <row r="1581" spans="1:10" x14ac:dyDescent="0.2">
      <c r="A1581" s="10" t="str">
        <f>"ENSG00000129951.18"</f>
        <v>ENSG00000129951.18</v>
      </c>
      <c r="B1581" s="10">
        <v>-1.5961531300840801</v>
      </c>
      <c r="C1581" s="10">
        <v>2.09858245433524</v>
      </c>
      <c r="D1581" s="10">
        <v>5.5503439049819203</v>
      </c>
      <c r="E1581" s="10">
        <v>4.5878457424749601E-2</v>
      </c>
      <c r="F1581" s="10" t="str">
        <f>"PLPPR3"</f>
        <v>PLPPR3</v>
      </c>
      <c r="G1581" s="10" t="str">
        <f t="shared" si="58"/>
        <v>protein_coding</v>
      </c>
      <c r="J1581" s="14"/>
    </row>
    <row r="1582" spans="1:10" x14ac:dyDescent="0.2">
      <c r="A1582" s="10" t="str">
        <f>"ENSG00000116014.10"</f>
        <v>ENSG00000116014.10</v>
      </c>
      <c r="B1582" s="10">
        <v>-1.21348850434899</v>
      </c>
      <c r="C1582" s="10">
        <v>1.2011215569223599</v>
      </c>
      <c r="D1582" s="10">
        <v>13.1434943322539</v>
      </c>
      <c r="E1582" s="10">
        <v>6.5019306518932004E-3</v>
      </c>
      <c r="F1582" s="10" t="str">
        <f>"KISS1R"</f>
        <v>KISS1R</v>
      </c>
      <c r="G1582" s="10" t="str">
        <f t="shared" si="58"/>
        <v>protein_coding</v>
      </c>
      <c r="J1582" s="14"/>
    </row>
    <row r="1583" spans="1:10" x14ac:dyDescent="0.2">
      <c r="A1583" s="10" t="str">
        <f>"ENSG00000116032.5"</f>
        <v>ENSG00000116032.5</v>
      </c>
      <c r="B1583" s="10">
        <v>-1.7350214561608699</v>
      </c>
      <c r="C1583" s="10">
        <v>2.5549267884323599</v>
      </c>
      <c r="D1583" s="10">
        <v>6.50382032760277</v>
      </c>
      <c r="E1583" s="10">
        <v>3.3828721264240302E-2</v>
      </c>
      <c r="F1583" s="10" t="str">
        <f>"GRIN3B"</f>
        <v>GRIN3B</v>
      </c>
      <c r="G1583" s="10" t="str">
        <f t="shared" si="58"/>
        <v>protein_coding</v>
      </c>
      <c r="J1583" s="14"/>
    </row>
    <row r="1584" spans="1:10" x14ac:dyDescent="0.2">
      <c r="A1584" s="10" t="str">
        <f>"ENSG00000099625.13"</f>
        <v>ENSG00000099625.13</v>
      </c>
      <c r="B1584" s="10">
        <v>-1.03564481395123</v>
      </c>
      <c r="C1584" s="10">
        <v>2.4792579197828699</v>
      </c>
      <c r="D1584" s="10">
        <v>5.4980031711123196</v>
      </c>
      <c r="E1584" s="10">
        <v>4.66871076229445E-2</v>
      </c>
      <c r="F1584" s="10" t="str">
        <f>"CBARP"</f>
        <v>CBARP</v>
      </c>
      <c r="G1584" s="10" t="str">
        <f t="shared" si="58"/>
        <v>protein_coding</v>
      </c>
      <c r="J1584" s="14"/>
    </row>
    <row r="1585" spans="1:10" x14ac:dyDescent="0.2">
      <c r="A1585" s="10" t="str">
        <f>"ENSG00000176490.5"</f>
        <v>ENSG00000176490.5</v>
      </c>
      <c r="B1585" s="10">
        <v>-1.65958078795384</v>
      </c>
      <c r="C1585" s="10">
        <v>0.22624846111416</v>
      </c>
      <c r="D1585" s="10">
        <v>21.915114490808801</v>
      </c>
      <c r="E1585" s="10">
        <v>1.4599232816536901E-3</v>
      </c>
      <c r="F1585" s="10" t="str">
        <f>"DIRAS1"</f>
        <v>DIRAS1</v>
      </c>
      <c r="G1585" s="10" t="str">
        <f t="shared" si="58"/>
        <v>protein_coding</v>
      </c>
      <c r="J1585" s="14"/>
    </row>
    <row r="1586" spans="1:10" x14ac:dyDescent="0.2">
      <c r="A1586" s="10" t="str">
        <f>"ENSG00000065717.15"</f>
        <v>ENSG00000065717.15</v>
      </c>
      <c r="B1586" s="10">
        <v>-2.17825883177998</v>
      </c>
      <c r="C1586" s="10">
        <v>-1.3485281181742701</v>
      </c>
      <c r="D1586" s="10">
        <v>5.3563820405384597</v>
      </c>
      <c r="E1586" s="10">
        <v>4.8967879416244503E-2</v>
      </c>
      <c r="F1586" s="10" t="str">
        <f>"TLE2"</f>
        <v>TLE2</v>
      </c>
      <c r="G1586" s="10" t="str">
        <f t="shared" si="58"/>
        <v>protein_coding</v>
      </c>
      <c r="J1586" s="14"/>
    </row>
    <row r="1587" spans="1:10" x14ac:dyDescent="0.2">
      <c r="A1587" s="10" t="str">
        <f>"ENSG00000268670.1"</f>
        <v>ENSG00000268670.1</v>
      </c>
      <c r="B1587" s="10">
        <v>-1.2667887283586601</v>
      </c>
      <c r="C1587" s="10">
        <v>-0.63111159705421305</v>
      </c>
      <c r="D1587" s="10">
        <v>7.0040761318583904</v>
      </c>
      <c r="E1587" s="10">
        <v>2.88297416813761E-2</v>
      </c>
      <c r="F1587" s="10" t="str">
        <f>"AC016586.1"</f>
        <v>AC016586.1</v>
      </c>
      <c r="G1587" s="10" t="str">
        <f>"sense_intronic"</f>
        <v>sense_intronic</v>
      </c>
      <c r="J1587" s="14"/>
    </row>
    <row r="1588" spans="1:10" x14ac:dyDescent="0.2">
      <c r="A1588" s="10" t="str">
        <f>"ENSG00000060566.14"</f>
        <v>ENSG00000060566.14</v>
      </c>
      <c r="B1588" s="10">
        <v>2.1642609578558201</v>
      </c>
      <c r="C1588" s="10">
        <v>1.4494469834091299</v>
      </c>
      <c r="D1588" s="10">
        <v>28.320459908288701</v>
      </c>
      <c r="E1588" s="10">
        <v>6.8128431056799395E-4</v>
      </c>
      <c r="F1588" s="10" t="str">
        <f>"CREB3L3"</f>
        <v>CREB3L3</v>
      </c>
      <c r="G1588" s="10" t="str">
        <f t="shared" ref="G1588:G1594" si="59">"protein_coding"</f>
        <v>protein_coding</v>
      </c>
      <c r="J1588" s="14"/>
    </row>
    <row r="1589" spans="1:10" x14ac:dyDescent="0.2">
      <c r="A1589" s="10" t="str">
        <f>"ENSG00000089847.12"</f>
        <v>ENSG00000089847.12</v>
      </c>
      <c r="B1589" s="10">
        <v>-1.41068782476563</v>
      </c>
      <c r="C1589" s="10">
        <v>0.37403973408813601</v>
      </c>
      <c r="D1589" s="10">
        <v>9.6646740143592105</v>
      </c>
      <c r="E1589" s="10">
        <v>1.4253342315684901E-2</v>
      </c>
      <c r="F1589" s="10" t="str">
        <f>"ANKRD24"</f>
        <v>ANKRD24</v>
      </c>
      <c r="G1589" s="10" t="str">
        <f t="shared" si="59"/>
        <v>protein_coding</v>
      </c>
      <c r="J1589" s="14"/>
    </row>
    <row r="1590" spans="1:10" x14ac:dyDescent="0.2">
      <c r="A1590" s="10" t="str">
        <f>"ENSG00000223573.7"</f>
        <v>ENSG00000223573.7</v>
      </c>
      <c r="B1590" s="10">
        <v>-1.7215814371393401</v>
      </c>
      <c r="C1590" s="10">
        <v>3.6388425288963999</v>
      </c>
      <c r="D1590" s="10">
        <v>5.8005960389354696</v>
      </c>
      <c r="E1590" s="10">
        <v>4.2249004169023399E-2</v>
      </c>
      <c r="F1590" s="10" t="str">
        <f>"TINCR"</f>
        <v>TINCR</v>
      </c>
      <c r="G1590" s="10" t="str">
        <f t="shared" si="59"/>
        <v>protein_coding</v>
      </c>
      <c r="J1590" s="14"/>
    </row>
    <row r="1591" spans="1:10" x14ac:dyDescent="0.2">
      <c r="A1591" s="10" t="str">
        <f>"ENSG00000174898.16"</f>
        <v>ENSG00000174898.16</v>
      </c>
      <c r="B1591" s="10">
        <v>-1.6803429731923201</v>
      </c>
      <c r="C1591" s="10">
        <v>0.61124898734503497</v>
      </c>
      <c r="D1591" s="10">
        <v>6.9203861207845003</v>
      </c>
      <c r="E1591" s="10">
        <v>2.9832357334782102E-2</v>
      </c>
      <c r="F1591" s="10" t="str">
        <f>"CATSPERD"</f>
        <v>CATSPERD</v>
      </c>
      <c r="G1591" s="10" t="str">
        <f t="shared" si="59"/>
        <v>protein_coding</v>
      </c>
      <c r="J1591" s="14"/>
    </row>
    <row r="1592" spans="1:10" x14ac:dyDescent="0.2">
      <c r="A1592" s="10" t="str">
        <f>"ENSG00000156413.13"</f>
        <v>ENSG00000156413.13</v>
      </c>
      <c r="B1592" s="10">
        <v>1.88601638511148</v>
      </c>
      <c r="C1592" s="10">
        <v>3.1774392058435801</v>
      </c>
      <c r="D1592" s="10">
        <v>20.695853610287902</v>
      </c>
      <c r="E1592" s="10">
        <v>1.8178348662169501E-3</v>
      </c>
      <c r="F1592" s="10" t="str">
        <f>"FUT6"</f>
        <v>FUT6</v>
      </c>
      <c r="G1592" s="10" t="str">
        <f t="shared" si="59"/>
        <v>protein_coding</v>
      </c>
      <c r="J1592" s="14"/>
    </row>
    <row r="1593" spans="1:10" x14ac:dyDescent="0.2">
      <c r="A1593" s="10" t="str">
        <f>"ENSG00000181029.9"</f>
        <v>ENSG00000181029.9</v>
      </c>
      <c r="B1593" s="10">
        <v>-1.2641192757011399</v>
      </c>
      <c r="C1593" s="10">
        <v>-0.35275008033499999</v>
      </c>
      <c r="D1593" s="10">
        <v>7.7941329022099497</v>
      </c>
      <c r="E1593" s="10">
        <v>2.3078097809843E-2</v>
      </c>
      <c r="F1593" s="10" t="str">
        <f>"TRAPPC5"</f>
        <v>TRAPPC5</v>
      </c>
      <c r="G1593" s="10" t="str">
        <f t="shared" si="59"/>
        <v>protein_coding</v>
      </c>
      <c r="J1593" s="14"/>
    </row>
    <row r="1594" spans="1:10" x14ac:dyDescent="0.2">
      <c r="A1594" s="10" t="str">
        <f>"ENSG00000181143.15"</f>
        <v>ENSG00000181143.15</v>
      </c>
      <c r="B1594" s="10">
        <v>-1.0207207606072499</v>
      </c>
      <c r="C1594" s="10">
        <v>-0.36622821677573297</v>
      </c>
      <c r="D1594" s="10">
        <v>5.7517562141262504</v>
      </c>
      <c r="E1594" s="10">
        <v>4.2437810210605699E-2</v>
      </c>
      <c r="F1594" s="10" t="str">
        <f>"MUC16"</f>
        <v>MUC16</v>
      </c>
      <c r="G1594" s="10" t="str">
        <f t="shared" si="59"/>
        <v>protein_coding</v>
      </c>
      <c r="J1594" s="14"/>
    </row>
    <row r="1595" spans="1:10" x14ac:dyDescent="0.2">
      <c r="A1595" s="10" t="str">
        <f>"ENSG00000278611.1"</f>
        <v>ENSG00000278611.1</v>
      </c>
      <c r="B1595" s="10">
        <v>1.5991237199543</v>
      </c>
      <c r="C1595" s="10">
        <v>-0.47218814523025698</v>
      </c>
      <c r="D1595" s="10">
        <v>7.7618302602753699</v>
      </c>
      <c r="E1595" s="10">
        <v>2.3422183817610999E-2</v>
      </c>
      <c r="F1595" s="10" t="str">
        <f>"ZNF426-DT"</f>
        <v>ZNF426-DT</v>
      </c>
      <c r="G1595" s="10" t="str">
        <f>"lincRNA"</f>
        <v>lincRNA</v>
      </c>
      <c r="J1595" s="14"/>
    </row>
    <row r="1596" spans="1:10" x14ac:dyDescent="0.2">
      <c r="A1596" s="10" t="str">
        <f>"ENSG00000105088.8"</f>
        <v>ENSG00000105088.8</v>
      </c>
      <c r="B1596" s="10">
        <v>-2.2474446264156498</v>
      </c>
      <c r="C1596" s="10">
        <v>1.56554254936874</v>
      </c>
      <c r="D1596" s="10">
        <v>14.120325696276</v>
      </c>
      <c r="E1596" s="10">
        <v>5.4397322539725601E-3</v>
      </c>
      <c r="F1596" s="10" t="str">
        <f>"OLFM2"</f>
        <v>OLFM2</v>
      </c>
      <c r="G1596" s="10" t="str">
        <f t="shared" ref="G1596:G1602" si="60">"protein_coding"</f>
        <v>protein_coding</v>
      </c>
      <c r="J1596" s="14"/>
    </row>
    <row r="1597" spans="1:10" x14ac:dyDescent="0.2">
      <c r="A1597" s="10" t="str">
        <f>"ENSG00000267534.4"</f>
        <v>ENSG00000267534.4</v>
      </c>
      <c r="B1597" s="10">
        <v>-1.3920568179439501</v>
      </c>
      <c r="C1597" s="10">
        <v>1.41116648323105</v>
      </c>
      <c r="D1597" s="10">
        <v>8.4288163607712008</v>
      </c>
      <c r="E1597" s="10">
        <v>1.9535415227560901E-2</v>
      </c>
      <c r="F1597" s="10" t="str">
        <f>"S1PR2"</f>
        <v>S1PR2</v>
      </c>
      <c r="G1597" s="10" t="str">
        <f t="shared" si="60"/>
        <v>protein_coding</v>
      </c>
      <c r="J1597" s="14"/>
    </row>
    <row r="1598" spans="1:10" x14ac:dyDescent="0.2">
      <c r="A1598" s="10" t="str">
        <f>"ENSG00000130173.13"</f>
        <v>ENSG00000130173.13</v>
      </c>
      <c r="B1598" s="10">
        <v>1.5331533386460099</v>
      </c>
      <c r="C1598" s="10">
        <v>2.32790714957933</v>
      </c>
      <c r="D1598" s="10">
        <v>25.700757129594098</v>
      </c>
      <c r="E1598" s="10">
        <v>9.2973801045796603E-4</v>
      </c>
      <c r="F1598" s="10" t="str">
        <f>"ANGPTL8"</f>
        <v>ANGPTL8</v>
      </c>
      <c r="G1598" s="10" t="str">
        <f t="shared" si="60"/>
        <v>protein_coding</v>
      </c>
      <c r="J1598" s="14"/>
    </row>
    <row r="1599" spans="1:10" x14ac:dyDescent="0.2">
      <c r="A1599" s="10" t="str">
        <f>"ENSG00000105518.14"</f>
        <v>ENSG00000105518.14</v>
      </c>
      <c r="B1599" s="10">
        <v>1.17996188612652</v>
      </c>
      <c r="C1599" s="10">
        <v>3.05876233337982</v>
      </c>
      <c r="D1599" s="10">
        <v>20.9752524525301</v>
      </c>
      <c r="E1599" s="10">
        <v>1.7235838281582699E-3</v>
      </c>
      <c r="F1599" s="10" t="str">
        <f>"TMEM205"</f>
        <v>TMEM205</v>
      </c>
      <c r="G1599" s="10" t="str">
        <f t="shared" si="60"/>
        <v>protein_coding</v>
      </c>
      <c r="J1599" s="14"/>
    </row>
    <row r="1600" spans="1:10" x14ac:dyDescent="0.2">
      <c r="A1600" s="10" t="str">
        <f>"ENSG00000183401.12"</f>
        <v>ENSG00000183401.12</v>
      </c>
      <c r="B1600" s="10">
        <v>1.1455677544727001</v>
      </c>
      <c r="C1600" s="10">
        <v>1.72656779084482</v>
      </c>
      <c r="D1600" s="10">
        <v>16.347470057325499</v>
      </c>
      <c r="E1600" s="10">
        <v>3.5004260733421098E-3</v>
      </c>
      <c r="F1600" s="10" t="str">
        <f>"CCDC159"</f>
        <v>CCDC159</v>
      </c>
      <c r="G1600" s="10" t="str">
        <f t="shared" si="60"/>
        <v>protein_coding</v>
      </c>
      <c r="J1600" s="14"/>
    </row>
    <row r="1601" spans="1:10" x14ac:dyDescent="0.2">
      <c r="A1601" s="10" t="str">
        <f>"ENSG00000187266.14"</f>
        <v>ENSG00000187266.14</v>
      </c>
      <c r="B1601" s="10">
        <v>-1.3368708386646999</v>
      </c>
      <c r="C1601" s="10">
        <v>3.9625642384405402</v>
      </c>
      <c r="D1601" s="10">
        <v>15.867721317955199</v>
      </c>
      <c r="E1601" s="10">
        <v>3.9427022146243601E-3</v>
      </c>
      <c r="F1601" s="10" t="str">
        <f>"EPOR"</f>
        <v>EPOR</v>
      </c>
      <c r="G1601" s="10" t="str">
        <f t="shared" si="60"/>
        <v>protein_coding</v>
      </c>
      <c r="J1601" s="14"/>
    </row>
    <row r="1602" spans="1:10" x14ac:dyDescent="0.2">
      <c r="A1602" s="10" t="str">
        <f>"ENSG00000130176.8"</f>
        <v>ENSG00000130176.8</v>
      </c>
      <c r="B1602" s="10">
        <v>-1.1386636485594299</v>
      </c>
      <c r="C1602" s="10">
        <v>0.22669813801262501</v>
      </c>
      <c r="D1602" s="10">
        <v>5.6549625114655697</v>
      </c>
      <c r="E1602" s="10">
        <v>4.4314773140330999E-2</v>
      </c>
      <c r="F1602" s="10" t="str">
        <f>"CNN1"</f>
        <v>CNN1</v>
      </c>
      <c r="G1602" s="10" t="str">
        <f t="shared" si="60"/>
        <v>protein_coding</v>
      </c>
      <c r="J1602" s="14"/>
    </row>
    <row r="1603" spans="1:10" x14ac:dyDescent="0.2">
      <c r="A1603" s="10" t="str">
        <f>"ENSG00000278897.1"</f>
        <v>ENSG00000278897.1</v>
      </c>
      <c r="B1603" s="10">
        <v>1.46565719102195</v>
      </c>
      <c r="C1603" s="10">
        <v>-0.68655624363213996</v>
      </c>
      <c r="D1603" s="10">
        <v>6.9057422374825803</v>
      </c>
      <c r="E1603" s="10">
        <v>2.9962388164409499E-2</v>
      </c>
      <c r="F1603" s="10" t="str">
        <f>"AC020951.1"</f>
        <v>AC020951.1</v>
      </c>
      <c r="G1603" s="10" t="str">
        <f>"TEC"</f>
        <v>TEC</v>
      </c>
      <c r="J1603" s="14"/>
    </row>
    <row r="1604" spans="1:10" x14ac:dyDescent="0.2">
      <c r="A1604" s="10" t="str">
        <f>"ENSG00000198342.10"</f>
        <v>ENSG00000198342.10</v>
      </c>
      <c r="B1604" s="10">
        <v>-1.1372544852922699</v>
      </c>
      <c r="C1604" s="10">
        <v>2.02449512153387</v>
      </c>
      <c r="D1604" s="10">
        <v>16.346250507935</v>
      </c>
      <c r="E1604" s="10">
        <v>3.5011742588421202E-3</v>
      </c>
      <c r="F1604" s="10" t="str">
        <f>"ZNF442"</f>
        <v>ZNF442</v>
      </c>
      <c r="G1604" s="10" t="str">
        <f>"protein_coding"</f>
        <v>protein_coding</v>
      </c>
      <c r="J1604" s="14"/>
    </row>
    <row r="1605" spans="1:10" x14ac:dyDescent="0.2">
      <c r="A1605" s="10" t="str">
        <f>"ENSG00000267519.6"</f>
        <v>ENSG00000267519.6</v>
      </c>
      <c r="B1605" s="10">
        <v>-1.0330960441655801</v>
      </c>
      <c r="C1605" s="10">
        <v>2.2090119343491699</v>
      </c>
      <c r="D1605" s="10">
        <v>10.4732835288569</v>
      </c>
      <c r="E1605" s="10">
        <v>1.17486603084153E-2</v>
      </c>
      <c r="F1605" s="10" t="str">
        <f>"AC020916.1"</f>
        <v>AC020916.1</v>
      </c>
      <c r="G1605" s="10" t="str">
        <f>"antisense"</f>
        <v>antisense</v>
      </c>
      <c r="J1605" s="14"/>
    </row>
    <row r="1606" spans="1:10" x14ac:dyDescent="0.2">
      <c r="A1606" s="10" t="str">
        <f>"ENSG00000132000.13"</f>
        <v>ENSG00000132000.13</v>
      </c>
      <c r="B1606" s="10">
        <v>-1.81325905476224</v>
      </c>
      <c r="C1606" s="10">
        <v>-0.18102054809913001</v>
      </c>
      <c r="D1606" s="10">
        <v>8.2445210605847095</v>
      </c>
      <c r="E1606" s="10">
        <v>2.05224118540474E-2</v>
      </c>
      <c r="F1606" s="10" t="str">
        <f>"PODNL1"</f>
        <v>PODNL1</v>
      </c>
      <c r="G1606" s="10" t="str">
        <f t="shared" ref="G1606:G1611" si="61">"protein_coding"</f>
        <v>protein_coding</v>
      </c>
      <c r="J1606" s="14"/>
    </row>
    <row r="1607" spans="1:10" x14ac:dyDescent="0.2">
      <c r="A1607" s="10" t="str">
        <f>"ENSG00000187867.8"</f>
        <v>ENSG00000187867.8</v>
      </c>
      <c r="B1607" s="10">
        <v>1.3098270349508201</v>
      </c>
      <c r="C1607" s="10">
        <v>0.65470176500363997</v>
      </c>
      <c r="D1607" s="10">
        <v>10.851596305267201</v>
      </c>
      <c r="E1607" s="10">
        <v>1.0767152487244301E-2</v>
      </c>
      <c r="F1607" s="10" t="str">
        <f>"PALM3"</f>
        <v>PALM3</v>
      </c>
      <c r="G1607" s="10" t="str">
        <f t="shared" si="61"/>
        <v>protein_coding</v>
      </c>
      <c r="J1607" s="14"/>
    </row>
    <row r="1608" spans="1:10" x14ac:dyDescent="0.2">
      <c r="A1608" s="10" t="str">
        <f>"ENSG00000105011.9"</f>
        <v>ENSG00000105011.9</v>
      </c>
      <c r="B1608" s="10">
        <v>-1.27542736512871</v>
      </c>
      <c r="C1608" s="10">
        <v>5.3257638790871997</v>
      </c>
      <c r="D1608" s="10">
        <v>14.2283581290177</v>
      </c>
      <c r="E1608" s="10">
        <v>5.3284322485284401E-3</v>
      </c>
      <c r="F1608" s="10" t="str">
        <f>"ASF1B"</f>
        <v>ASF1B</v>
      </c>
      <c r="G1608" s="10" t="str">
        <f t="shared" si="61"/>
        <v>protein_coding</v>
      </c>
      <c r="J1608" s="14"/>
    </row>
    <row r="1609" spans="1:10" x14ac:dyDescent="0.2">
      <c r="A1609" s="10" t="str">
        <f>"ENSG00000161031.13"</f>
        <v>ENSG00000161031.13</v>
      </c>
      <c r="B1609" s="10">
        <v>1.89508073253983</v>
      </c>
      <c r="C1609" s="10">
        <v>-0.40746783558976701</v>
      </c>
      <c r="D1609" s="10">
        <v>12.4078974492888</v>
      </c>
      <c r="E1609" s="10">
        <v>7.6651425891075499E-3</v>
      </c>
      <c r="F1609" s="10" t="str">
        <f>"PGLYRP2"</f>
        <v>PGLYRP2</v>
      </c>
      <c r="G1609" s="10" t="str">
        <f t="shared" si="61"/>
        <v>protein_coding</v>
      </c>
      <c r="J1609" s="14"/>
    </row>
    <row r="1610" spans="1:10" x14ac:dyDescent="0.2">
      <c r="A1610" s="10" t="str">
        <f>"ENSG00000186115.13"</f>
        <v>ENSG00000186115.13</v>
      </c>
      <c r="B1610" s="10">
        <v>-1.71246310392587</v>
      </c>
      <c r="C1610" s="10">
        <v>5.4590765604046902</v>
      </c>
      <c r="D1610" s="10">
        <v>19.502048027657299</v>
      </c>
      <c r="E1610" s="10">
        <v>2.1718924289911498E-3</v>
      </c>
      <c r="F1610" s="10" t="str">
        <f>"CYP4F2"</f>
        <v>CYP4F2</v>
      </c>
      <c r="G1610" s="10" t="str">
        <f t="shared" si="61"/>
        <v>protein_coding</v>
      </c>
      <c r="J1610" s="14"/>
    </row>
    <row r="1611" spans="1:10" x14ac:dyDescent="0.2">
      <c r="A1611" s="10" t="str">
        <f>"ENSG00000072954.7"</f>
        <v>ENSG00000072954.7</v>
      </c>
      <c r="B1611" s="10">
        <v>-1.0184571928941799</v>
      </c>
      <c r="C1611" s="10">
        <v>1.68262968765974</v>
      </c>
      <c r="D1611" s="10">
        <v>7.5488566447691499</v>
      </c>
      <c r="E1611" s="10">
        <v>2.4865411310380701E-2</v>
      </c>
      <c r="F1611" s="10" t="str">
        <f>"TMEM38A"</f>
        <v>TMEM38A</v>
      </c>
      <c r="G1611" s="10" t="str">
        <f t="shared" si="61"/>
        <v>protein_coding</v>
      </c>
      <c r="J1611" s="14"/>
    </row>
    <row r="1612" spans="1:10" x14ac:dyDescent="0.2">
      <c r="A1612" s="10" t="str">
        <f>"ENSG00000268743.1"</f>
        <v>ENSG00000268743.1</v>
      </c>
      <c r="B1612" s="10">
        <v>-1.6677585250449101</v>
      </c>
      <c r="C1612" s="10">
        <v>-0.95495876730305895</v>
      </c>
      <c r="D1612" s="10">
        <v>7.6481866331699502</v>
      </c>
      <c r="E1612" s="10">
        <v>2.4178740032597699E-2</v>
      </c>
      <c r="F1612" s="10" t="str">
        <f>"AC008737.1"</f>
        <v>AC008737.1</v>
      </c>
      <c r="G1612" s="10" t="str">
        <f>"sense_intronic"</f>
        <v>sense_intronic</v>
      </c>
      <c r="J1612" s="14"/>
    </row>
    <row r="1613" spans="1:10" x14ac:dyDescent="0.2">
      <c r="A1613" s="10" t="str">
        <f>"ENSG00000269720.2"</f>
        <v>ENSG00000269720.2</v>
      </c>
      <c r="B1613" s="10">
        <v>-1.79150079537693</v>
      </c>
      <c r="C1613" s="10">
        <v>-0.66273092705758796</v>
      </c>
      <c r="D1613" s="10">
        <v>14.6807511512263</v>
      </c>
      <c r="E1613" s="10">
        <v>4.7399283522768301E-3</v>
      </c>
      <c r="F1613" s="10" t="str">
        <f>"CCDC194"</f>
        <v>CCDC194</v>
      </c>
      <c r="G1613" s="10" t="str">
        <f>"protein_coding"</f>
        <v>protein_coding</v>
      </c>
      <c r="J1613" s="14"/>
    </row>
    <row r="1614" spans="1:10" x14ac:dyDescent="0.2">
      <c r="A1614" s="10" t="str">
        <f>"ENSG00000179913.10"</f>
        <v>ENSG00000179913.10</v>
      </c>
      <c r="B1614" s="10">
        <v>2.9270109365463299</v>
      </c>
      <c r="C1614" s="10">
        <v>3.8555030646366202</v>
      </c>
      <c r="D1614" s="10">
        <v>67.649626279102804</v>
      </c>
      <c r="E1614" s="13">
        <v>3.3261852276323197E-5</v>
      </c>
      <c r="F1614" s="10" t="str">
        <f>"B3GNT3"</f>
        <v>B3GNT3</v>
      </c>
      <c r="G1614" s="10" t="str">
        <f>"protein_coding"</f>
        <v>protein_coding</v>
      </c>
      <c r="J1614" s="14"/>
    </row>
    <row r="1615" spans="1:10" x14ac:dyDescent="0.2">
      <c r="A1615" s="10" t="str">
        <f>"ENSG00000105641.4"</f>
        <v>ENSG00000105641.4</v>
      </c>
      <c r="B1615" s="10">
        <v>-3.25550365296293</v>
      </c>
      <c r="C1615" s="10">
        <v>0.78964376803413605</v>
      </c>
      <c r="D1615" s="10">
        <v>17.630772659464199</v>
      </c>
      <c r="E1615" s="10">
        <v>2.91974104191247E-3</v>
      </c>
      <c r="F1615" s="10" t="str">
        <f>"SLC5A5"</f>
        <v>SLC5A5</v>
      </c>
      <c r="G1615" s="10" t="str">
        <f>"protein_coding"</f>
        <v>protein_coding</v>
      </c>
      <c r="J1615" s="14"/>
    </row>
    <row r="1616" spans="1:10" x14ac:dyDescent="0.2">
      <c r="A1616" s="10" t="str">
        <f>"ENSG00000285188.1"</f>
        <v>ENSG00000285188.1</v>
      </c>
      <c r="B1616" s="10">
        <v>-1.2268558861015899</v>
      </c>
      <c r="C1616" s="10">
        <v>2.38465786398024</v>
      </c>
      <c r="D1616" s="10">
        <v>7.6874012587497296</v>
      </c>
      <c r="E1616" s="10">
        <v>2.3914241922026201E-2</v>
      </c>
      <c r="F1616" s="10" t="str">
        <f>"AC008397.2"</f>
        <v>AC008397.2</v>
      </c>
      <c r="G1616" s="10" t="str">
        <f>"protein_coding"</f>
        <v>protein_coding</v>
      </c>
      <c r="J1616" s="14"/>
    </row>
    <row r="1617" spans="1:10" x14ac:dyDescent="0.2">
      <c r="A1617" s="10" t="str">
        <f>"ENSG00000267565.1"</f>
        <v>ENSG00000267565.1</v>
      </c>
      <c r="B1617" s="10">
        <v>-1.30797494881037</v>
      </c>
      <c r="C1617" s="10">
        <v>-0.69335110835673996</v>
      </c>
      <c r="D1617" s="10">
        <v>8.7846713200805802</v>
      </c>
      <c r="E1617" s="10">
        <v>1.74642429550067E-2</v>
      </c>
      <c r="F1617" s="10" t="str">
        <f>"AC011477.3"</f>
        <v>AC011477.3</v>
      </c>
      <c r="G1617" s="10" t="str">
        <f>"antisense"</f>
        <v>antisense</v>
      </c>
      <c r="J1617" s="14"/>
    </row>
    <row r="1618" spans="1:10" x14ac:dyDescent="0.2">
      <c r="A1618" s="10" t="str">
        <f>"ENSG00000184635.15"</f>
        <v>ENSG00000184635.15</v>
      </c>
      <c r="B1618" s="10">
        <v>-1.8942201809675601</v>
      </c>
      <c r="C1618" s="10">
        <v>-1.5130485221182099</v>
      </c>
      <c r="D1618" s="10">
        <v>9.5340421132840802</v>
      </c>
      <c r="E1618" s="10">
        <v>1.4421910990932299E-2</v>
      </c>
      <c r="F1618" s="10" t="str">
        <f>"ZNF93"</f>
        <v>ZNF93</v>
      </c>
      <c r="G1618" s="10" t="str">
        <f t="shared" ref="G1618:G1623" si="62">"protein_coding"</f>
        <v>protein_coding</v>
      </c>
      <c r="J1618" s="14"/>
    </row>
    <row r="1619" spans="1:10" x14ac:dyDescent="0.2">
      <c r="A1619" s="10" t="str">
        <f>"ENSG00000197134.12"</f>
        <v>ENSG00000197134.12</v>
      </c>
      <c r="B1619" s="10">
        <v>-2.1647555972369301</v>
      </c>
      <c r="C1619" s="10">
        <v>-0.509389710498514</v>
      </c>
      <c r="D1619" s="10">
        <v>17.695354046578299</v>
      </c>
      <c r="E1619" s="10">
        <v>2.8889982473848399E-3</v>
      </c>
      <c r="F1619" s="10" t="str">
        <f>"ZNF257"</f>
        <v>ZNF257</v>
      </c>
      <c r="G1619" s="10" t="str">
        <f t="shared" si="62"/>
        <v>protein_coding</v>
      </c>
      <c r="J1619" s="14"/>
    </row>
    <row r="1620" spans="1:10" x14ac:dyDescent="0.2">
      <c r="A1620" s="10" t="str">
        <f>"ENSG00000105173.14"</f>
        <v>ENSG00000105173.14</v>
      </c>
      <c r="B1620" s="10">
        <v>-1.2395238549145999</v>
      </c>
      <c r="C1620" s="10">
        <v>4.80935192875212</v>
      </c>
      <c r="D1620" s="10">
        <v>25.376328955156801</v>
      </c>
      <c r="E1620" s="10">
        <v>9.6790587736166804E-4</v>
      </c>
      <c r="F1620" s="10" t="str">
        <f>"CCNE1"</f>
        <v>CCNE1</v>
      </c>
      <c r="G1620" s="10" t="str">
        <f t="shared" si="62"/>
        <v>protein_coding</v>
      </c>
      <c r="J1620" s="14"/>
    </row>
    <row r="1621" spans="1:10" x14ac:dyDescent="0.2">
      <c r="A1621" s="10" t="str">
        <f>"ENSG00000198597.9"</f>
        <v>ENSG00000198597.9</v>
      </c>
      <c r="B1621" s="10">
        <v>-2.2285503266011899</v>
      </c>
      <c r="C1621" s="10">
        <v>-1.80231766512792</v>
      </c>
      <c r="D1621" s="10">
        <v>7.3748076891315302</v>
      </c>
      <c r="E1621" s="10">
        <v>2.5992620968287101E-2</v>
      </c>
      <c r="F1621" s="10" t="str">
        <f>"ZNF536"</f>
        <v>ZNF536</v>
      </c>
      <c r="G1621" s="10" t="str">
        <f t="shared" si="62"/>
        <v>protein_coding</v>
      </c>
      <c r="J1621" s="14"/>
    </row>
    <row r="1622" spans="1:10" x14ac:dyDescent="0.2">
      <c r="A1622" s="10" t="str">
        <f>"ENSG00000124302.13"</f>
        <v>ENSG00000124302.13</v>
      </c>
      <c r="B1622" s="10">
        <v>-1.90875599992128</v>
      </c>
      <c r="C1622" s="10">
        <v>-0.92760864641795104</v>
      </c>
      <c r="D1622" s="10">
        <v>5.95274406213586</v>
      </c>
      <c r="E1622" s="10">
        <v>4.02196568317328E-2</v>
      </c>
      <c r="F1622" s="10" t="str">
        <f>"CHST8"</f>
        <v>CHST8</v>
      </c>
      <c r="G1622" s="10" t="str">
        <f t="shared" si="62"/>
        <v>protein_coding</v>
      </c>
      <c r="J1622" s="14"/>
    </row>
    <row r="1623" spans="1:10" x14ac:dyDescent="0.2">
      <c r="A1623" s="10" t="str">
        <f>"ENSG00000105711.12"</f>
        <v>ENSG00000105711.12</v>
      </c>
      <c r="B1623" s="10">
        <v>1.8608497553627801</v>
      </c>
      <c r="C1623" s="10">
        <v>2.1096765646716502</v>
      </c>
      <c r="D1623" s="10">
        <v>19.974514365096699</v>
      </c>
      <c r="E1623" s="10">
        <v>2.0222765722373499E-3</v>
      </c>
      <c r="F1623" s="10" t="str">
        <f>"SCN1B"</f>
        <v>SCN1B</v>
      </c>
      <c r="G1623" s="10" t="str">
        <f t="shared" si="62"/>
        <v>protein_coding</v>
      </c>
      <c r="J1623" s="14"/>
    </row>
    <row r="1624" spans="1:10" x14ac:dyDescent="0.2">
      <c r="A1624" s="10" t="str">
        <f>"ENSG00000268947.1"</f>
        <v>ENSG00000268947.1</v>
      </c>
      <c r="B1624" s="10">
        <v>-1.1259032363927499</v>
      </c>
      <c r="C1624" s="10">
        <v>-0.65397169734954697</v>
      </c>
      <c r="D1624" s="10">
        <v>5.6330115716411902</v>
      </c>
      <c r="E1624" s="10">
        <v>4.42785498914944E-2</v>
      </c>
      <c r="F1624" s="10" t="str">
        <f>"AC002128.1"</f>
        <v>AC002128.1</v>
      </c>
      <c r="G1624" s="10" t="str">
        <f>"sense_intronic"</f>
        <v>sense_intronic</v>
      </c>
      <c r="J1624" s="14"/>
    </row>
    <row r="1625" spans="1:10" x14ac:dyDescent="0.2">
      <c r="A1625" s="10" t="str">
        <f>"ENSG00000105675.8"</f>
        <v>ENSG00000105675.8</v>
      </c>
      <c r="B1625" s="10">
        <v>-1.0699613769930401</v>
      </c>
      <c r="C1625" s="10">
        <v>-0.32573149913320698</v>
      </c>
      <c r="D1625" s="10">
        <v>7.8181233870558904</v>
      </c>
      <c r="E1625" s="10">
        <v>2.2683818965796999E-2</v>
      </c>
      <c r="F1625" s="10" t="str">
        <f>"ATP4A"</f>
        <v>ATP4A</v>
      </c>
      <c r="G1625" s="10" t="str">
        <f>"protein_coding"</f>
        <v>protein_coding</v>
      </c>
      <c r="J1625" s="14"/>
    </row>
    <row r="1626" spans="1:10" x14ac:dyDescent="0.2">
      <c r="A1626" s="10" t="str">
        <f>"ENSG00000250799.9"</f>
        <v>ENSG00000250799.9</v>
      </c>
      <c r="B1626" s="10">
        <v>2.2639298607249199</v>
      </c>
      <c r="C1626" s="10">
        <v>2.8073787375581198</v>
      </c>
      <c r="D1626" s="10">
        <v>10.107888374433101</v>
      </c>
      <c r="E1626" s="10">
        <v>1.2805630174032599E-2</v>
      </c>
      <c r="F1626" s="10" t="str">
        <f>"PRODH2"</f>
        <v>PRODH2</v>
      </c>
      <c r="G1626" s="10" t="str">
        <f>"protein_coding"</f>
        <v>protein_coding</v>
      </c>
      <c r="J1626" s="14"/>
    </row>
    <row r="1627" spans="1:10" x14ac:dyDescent="0.2">
      <c r="A1627" s="10" t="str">
        <f>"ENSG00000225975.6"</f>
        <v>ENSG00000225975.6</v>
      </c>
      <c r="B1627" s="10">
        <v>1.5886473388654401</v>
      </c>
      <c r="C1627" s="10">
        <v>-7.9393561951792892E-3</v>
      </c>
      <c r="D1627" s="10">
        <v>10.451019292963499</v>
      </c>
      <c r="E1627" s="10">
        <v>1.18098550692827E-2</v>
      </c>
      <c r="F1627" s="10" t="str">
        <f>"LINC01534"</f>
        <v>LINC01534</v>
      </c>
      <c r="G1627" s="10" t="str">
        <f>"lincRNA"</f>
        <v>lincRNA</v>
      </c>
      <c r="J1627" s="14"/>
    </row>
    <row r="1628" spans="1:10" x14ac:dyDescent="0.2">
      <c r="A1628" s="10" t="str">
        <f>"ENSG00000267041.6"</f>
        <v>ENSG00000267041.6</v>
      </c>
      <c r="B1628" s="10">
        <v>-1.5652596565808199</v>
      </c>
      <c r="C1628" s="10">
        <v>2.9316651458524801</v>
      </c>
      <c r="D1628" s="10">
        <v>12.8053071444594</v>
      </c>
      <c r="E1628" s="10">
        <v>7.0597187151274898E-3</v>
      </c>
      <c r="F1628" s="10" t="str">
        <f>"ZNF850"</f>
        <v>ZNF850</v>
      </c>
      <c r="G1628" s="10" t="str">
        <f t="shared" ref="G1628:G1633" si="63">"protein_coding"</f>
        <v>protein_coding</v>
      </c>
      <c r="J1628" s="14"/>
    </row>
    <row r="1629" spans="1:10" x14ac:dyDescent="0.2">
      <c r="A1629" s="10" t="str">
        <f>"ENSG00000198453.13"</f>
        <v>ENSG00000198453.13</v>
      </c>
      <c r="B1629" s="10">
        <v>-1.95532851935651</v>
      </c>
      <c r="C1629" s="10">
        <v>-0.86882681626763403</v>
      </c>
      <c r="D1629" s="10">
        <v>8.9022943960390606</v>
      </c>
      <c r="E1629" s="10">
        <v>1.7260320999344301E-2</v>
      </c>
      <c r="F1629" s="10" t="str">
        <f>"ZNF568"</f>
        <v>ZNF568</v>
      </c>
      <c r="G1629" s="10" t="str">
        <f t="shared" si="63"/>
        <v>protein_coding</v>
      </c>
      <c r="J1629" s="14"/>
    </row>
    <row r="1630" spans="1:10" x14ac:dyDescent="0.2">
      <c r="A1630" s="10" t="str">
        <f>"ENSG00000171804.10"</f>
        <v>ENSG00000171804.10</v>
      </c>
      <c r="B1630" s="10">
        <v>-1.69491369660725</v>
      </c>
      <c r="C1630" s="10">
        <v>-1.6355862918116999</v>
      </c>
      <c r="D1630" s="10">
        <v>5.38978766787596</v>
      </c>
      <c r="E1630" s="10">
        <v>4.8212878535960998E-2</v>
      </c>
      <c r="F1630" s="10" t="str">
        <f>"WDR87"</f>
        <v>WDR87</v>
      </c>
      <c r="G1630" s="10" t="str">
        <f t="shared" si="63"/>
        <v>protein_coding</v>
      </c>
      <c r="J1630" s="14"/>
    </row>
    <row r="1631" spans="1:10" x14ac:dyDescent="0.2">
      <c r="A1631" s="10" t="str">
        <f>"ENSG00000188766.12"</f>
        <v>ENSG00000188766.12</v>
      </c>
      <c r="B1631" s="10">
        <v>-1.1123682152133101</v>
      </c>
      <c r="C1631" s="10">
        <v>0.81747674001595705</v>
      </c>
      <c r="D1631" s="10">
        <v>7.15468140759788</v>
      </c>
      <c r="E1631" s="10">
        <v>2.7845667227616298E-2</v>
      </c>
      <c r="F1631" s="10" t="str">
        <f>"SPRED3"</f>
        <v>SPRED3</v>
      </c>
      <c r="G1631" s="10" t="str">
        <f t="shared" si="63"/>
        <v>protein_coding</v>
      </c>
      <c r="J1631" s="14"/>
    </row>
    <row r="1632" spans="1:10" x14ac:dyDescent="0.2">
      <c r="A1632" s="10" t="str">
        <f>"ENSG00000196218.12"</f>
        <v>ENSG00000196218.12</v>
      </c>
      <c r="B1632" s="10">
        <v>-1.72355864274417</v>
      </c>
      <c r="C1632" s="10">
        <v>0.84702822266785405</v>
      </c>
      <c r="D1632" s="10">
        <v>8.3829184003080393</v>
      </c>
      <c r="E1632" s="10">
        <v>1.97755301143532E-2</v>
      </c>
      <c r="F1632" s="10" t="str">
        <f>"RYR1"</f>
        <v>RYR1</v>
      </c>
      <c r="G1632" s="10" t="str">
        <f t="shared" si="63"/>
        <v>protein_coding</v>
      </c>
      <c r="J1632" s="14"/>
    </row>
    <row r="1633" spans="1:10" x14ac:dyDescent="0.2">
      <c r="A1633" s="10" t="str">
        <f>"ENSG00000104814.13"</f>
        <v>ENSG00000104814.13</v>
      </c>
      <c r="B1633" s="10">
        <v>-3.2750778509341498</v>
      </c>
      <c r="C1633" s="10">
        <v>-1.51798001455358</v>
      </c>
      <c r="D1633" s="10">
        <v>12.125825383610501</v>
      </c>
      <c r="E1633" s="10">
        <v>8.1347035969267806E-3</v>
      </c>
      <c r="F1633" s="10" t="str">
        <f>"MAP4K1"</f>
        <v>MAP4K1</v>
      </c>
      <c r="G1633" s="10" t="str">
        <f t="shared" si="63"/>
        <v>protein_coding</v>
      </c>
      <c r="J1633" s="14"/>
    </row>
    <row r="1634" spans="1:10" x14ac:dyDescent="0.2">
      <c r="A1634" s="10" t="str">
        <f>"ENSG00000267107.7"</f>
        <v>ENSG00000267107.7</v>
      </c>
      <c r="B1634" s="10">
        <v>-2.0535067941211498</v>
      </c>
      <c r="C1634" s="10">
        <v>-0.57837362337493103</v>
      </c>
      <c r="D1634" s="10">
        <v>24.930760610719801</v>
      </c>
      <c r="E1634" s="10">
        <v>9.7327550835526295E-4</v>
      </c>
      <c r="F1634" s="10" t="str">
        <f>"PCAT19"</f>
        <v>PCAT19</v>
      </c>
      <c r="G1634" s="10" t="str">
        <f>"lincRNA"</f>
        <v>lincRNA</v>
      </c>
      <c r="J1634" s="14"/>
    </row>
    <row r="1635" spans="1:10" x14ac:dyDescent="0.2">
      <c r="A1635" s="10" t="str">
        <f>"ENSG00000105737.9"</f>
        <v>ENSG00000105737.9</v>
      </c>
      <c r="B1635" s="10">
        <v>-3.8381584186873998</v>
      </c>
      <c r="C1635" s="10">
        <v>-1.1390628328106001</v>
      </c>
      <c r="D1635" s="10">
        <v>30.631933268266401</v>
      </c>
      <c r="E1635" s="10">
        <v>4.9727142962076299E-4</v>
      </c>
      <c r="F1635" s="10" t="str">
        <f>"GRIK5"</f>
        <v>GRIK5</v>
      </c>
      <c r="G1635" s="10" t="str">
        <f t="shared" ref="G1635:G1645" si="64">"protein_coding"</f>
        <v>protein_coding</v>
      </c>
      <c r="J1635" s="14"/>
    </row>
    <row r="1636" spans="1:10" x14ac:dyDescent="0.2">
      <c r="A1636" s="10" t="str">
        <f>"ENSG00000234465.11"</f>
        <v>ENSG00000234465.11</v>
      </c>
      <c r="B1636" s="10">
        <v>-1.5853071913349199</v>
      </c>
      <c r="C1636" s="10">
        <v>-0.87977613962265999</v>
      </c>
      <c r="D1636" s="10">
        <v>9.3199971819638492</v>
      </c>
      <c r="E1636" s="10">
        <v>1.5239364706437599E-2</v>
      </c>
      <c r="F1636" s="10" t="str">
        <f>"PINLYP"</f>
        <v>PINLYP</v>
      </c>
      <c r="G1636" s="10" t="str">
        <f t="shared" si="64"/>
        <v>protein_coding</v>
      </c>
      <c r="J1636" s="14"/>
    </row>
    <row r="1637" spans="1:10" x14ac:dyDescent="0.2">
      <c r="A1637" s="10" t="str">
        <f>"ENSG00000011422.12"</f>
        <v>ENSG00000011422.12</v>
      </c>
      <c r="B1637" s="10">
        <v>1.9458427564108001</v>
      </c>
      <c r="C1637" s="10">
        <v>0.48850336423058099</v>
      </c>
      <c r="D1637" s="10">
        <v>24.741988571520199</v>
      </c>
      <c r="E1637" s="10">
        <v>1.0328053156026501E-3</v>
      </c>
      <c r="F1637" s="10" t="str">
        <f>"PLAUR"</f>
        <v>PLAUR</v>
      </c>
      <c r="G1637" s="10" t="str">
        <f t="shared" si="64"/>
        <v>protein_coding</v>
      </c>
      <c r="J1637" s="14"/>
    </row>
    <row r="1638" spans="1:10" x14ac:dyDescent="0.2">
      <c r="A1638" s="10" t="str">
        <f>"ENSG00000159915.12"</f>
        <v>ENSG00000159915.12</v>
      </c>
      <c r="B1638" s="10">
        <v>1.2991798967455199</v>
      </c>
      <c r="C1638" s="10">
        <v>1.03425100957264</v>
      </c>
      <c r="D1638" s="10">
        <v>7.1970731507535204</v>
      </c>
      <c r="E1638" s="10">
        <v>2.7504252429001699E-2</v>
      </c>
      <c r="F1638" s="10" t="str">
        <f>"ZNF233"</f>
        <v>ZNF233</v>
      </c>
      <c r="G1638" s="10" t="str">
        <f t="shared" si="64"/>
        <v>protein_coding</v>
      </c>
      <c r="J1638" s="14"/>
    </row>
    <row r="1639" spans="1:10" x14ac:dyDescent="0.2">
      <c r="A1639" s="10" t="str">
        <f>"ENSG00000273777.4"</f>
        <v>ENSG00000273777.4</v>
      </c>
      <c r="B1639" s="10">
        <v>2.4430975112018798</v>
      </c>
      <c r="C1639" s="10">
        <v>-1.8163309884049099</v>
      </c>
      <c r="D1639" s="10">
        <v>8.5823356501951409</v>
      </c>
      <c r="E1639" s="10">
        <v>1.8706906325153299E-2</v>
      </c>
      <c r="F1639" s="10" t="str">
        <f>"CEACAM20"</f>
        <v>CEACAM20</v>
      </c>
      <c r="G1639" s="10" t="str">
        <f t="shared" si="64"/>
        <v>protein_coding</v>
      </c>
      <c r="J1639" s="14"/>
    </row>
    <row r="1640" spans="1:10" x14ac:dyDescent="0.2">
      <c r="A1640" s="10" t="str">
        <f>"ENSG00000234906.10"</f>
        <v>ENSG00000234906.10</v>
      </c>
      <c r="B1640" s="10">
        <v>1.11966044840102</v>
      </c>
      <c r="C1640" s="10">
        <v>0.67821459235458204</v>
      </c>
      <c r="D1640" s="10">
        <v>14.090103536454199</v>
      </c>
      <c r="E1640" s="10">
        <v>5.3076091002007804E-3</v>
      </c>
      <c r="F1640" s="10" t="str">
        <f>"APOC2"</f>
        <v>APOC2</v>
      </c>
      <c r="G1640" s="10" t="str">
        <f t="shared" si="64"/>
        <v>protein_coding</v>
      </c>
      <c r="J1640" s="14"/>
    </row>
    <row r="1641" spans="1:10" x14ac:dyDescent="0.2">
      <c r="A1641" s="10" t="str">
        <f>"ENSG00000104936.17"</f>
        <v>ENSG00000104936.17</v>
      </c>
      <c r="B1641" s="10">
        <v>-1.06710012108467</v>
      </c>
      <c r="C1641" s="10">
        <v>4.4796010140351896</v>
      </c>
      <c r="D1641" s="10">
        <v>8.6909051022668002</v>
      </c>
      <c r="E1641" s="10">
        <v>1.8232420425225101E-2</v>
      </c>
      <c r="F1641" s="10" t="str">
        <f>"DMPK"</f>
        <v>DMPK</v>
      </c>
      <c r="G1641" s="10" t="str">
        <f t="shared" si="64"/>
        <v>protein_coding</v>
      </c>
      <c r="J1641" s="14"/>
    </row>
    <row r="1642" spans="1:10" x14ac:dyDescent="0.2">
      <c r="A1642" s="10" t="str">
        <f>"ENSG00000204869.8"</f>
        <v>ENSG00000204869.8</v>
      </c>
      <c r="B1642" s="10">
        <v>2.5118275975123101</v>
      </c>
      <c r="C1642" s="10">
        <v>0.90528436099513498</v>
      </c>
      <c r="D1642" s="10">
        <v>30.9551051645816</v>
      </c>
      <c r="E1642" s="10">
        <v>5.0966826965691497E-4</v>
      </c>
      <c r="F1642" s="10" t="str">
        <f>"IGFL4"</f>
        <v>IGFL4</v>
      </c>
      <c r="G1642" s="10" t="str">
        <f t="shared" si="64"/>
        <v>protein_coding</v>
      </c>
      <c r="J1642" s="14"/>
    </row>
    <row r="1643" spans="1:10" x14ac:dyDescent="0.2">
      <c r="A1643" s="10" t="str">
        <f>"ENSG00000134830.5"</f>
        <v>ENSG00000134830.5</v>
      </c>
      <c r="B1643" s="10">
        <v>-3.1593735021474698</v>
      </c>
      <c r="C1643" s="10">
        <v>-2.0978414083025898</v>
      </c>
      <c r="D1643" s="10">
        <v>9.7558774271895903</v>
      </c>
      <c r="E1643" s="10">
        <v>1.37668286200292E-2</v>
      </c>
      <c r="F1643" s="10" t="str">
        <f>"C5AR2"</f>
        <v>C5AR2</v>
      </c>
      <c r="G1643" s="10" t="str">
        <f t="shared" si="64"/>
        <v>protein_coding</v>
      </c>
      <c r="J1643" s="14"/>
    </row>
    <row r="1644" spans="1:10" x14ac:dyDescent="0.2">
      <c r="A1644" s="10" t="str">
        <f>"ENSG00000105419.17"</f>
        <v>ENSG00000105419.17</v>
      </c>
      <c r="B1644" s="10">
        <v>-1.5027385259824499</v>
      </c>
      <c r="C1644" s="10">
        <v>0.38055951773434199</v>
      </c>
      <c r="D1644" s="10">
        <v>21.444448713480099</v>
      </c>
      <c r="E1644" s="10">
        <v>1.56121399049352E-3</v>
      </c>
      <c r="F1644" s="10" t="str">
        <f>"MEIS3"</f>
        <v>MEIS3</v>
      </c>
      <c r="G1644" s="10" t="str">
        <f t="shared" si="64"/>
        <v>protein_coding</v>
      </c>
      <c r="J1644" s="14"/>
    </row>
    <row r="1645" spans="1:10" x14ac:dyDescent="0.2">
      <c r="A1645" s="10" t="str">
        <f>"ENSG00000118160.14"</f>
        <v>ENSG00000118160.14</v>
      </c>
      <c r="B1645" s="10">
        <v>-2.0009166211515002</v>
      </c>
      <c r="C1645" s="10">
        <v>-1.28065844053291</v>
      </c>
      <c r="D1645" s="10">
        <v>11.9695412955933</v>
      </c>
      <c r="E1645" s="10">
        <v>8.1957689562711204E-3</v>
      </c>
      <c r="F1645" s="10" t="str">
        <f>"SLC8A2"</f>
        <v>SLC8A2</v>
      </c>
      <c r="G1645" s="10" t="str">
        <f t="shared" si="64"/>
        <v>protein_coding</v>
      </c>
      <c r="J1645" s="14"/>
    </row>
    <row r="1646" spans="1:10" x14ac:dyDescent="0.2">
      <c r="A1646" s="10" t="str">
        <f>"ENSG00000277383.1"</f>
        <v>ENSG00000277383.1</v>
      </c>
      <c r="B1646" s="10">
        <v>-1.12192422094555</v>
      </c>
      <c r="C1646" s="10">
        <v>-0.339313029259806</v>
      </c>
      <c r="D1646" s="10">
        <v>7.7287031867544398</v>
      </c>
      <c r="E1646" s="10">
        <v>2.32603995105891E-2</v>
      </c>
      <c r="F1646" s="10" t="str">
        <f>"AC010331.1"</f>
        <v>AC010331.1</v>
      </c>
      <c r="G1646" s="10" t="str">
        <f>"antisense"</f>
        <v>antisense</v>
      </c>
      <c r="J1646" s="14"/>
    </row>
    <row r="1647" spans="1:10" x14ac:dyDescent="0.2">
      <c r="A1647" s="10" t="str">
        <f>"ENSG00000105499.14"</f>
        <v>ENSG00000105499.14</v>
      </c>
      <c r="B1647" s="10">
        <v>-1.1057941664842701</v>
      </c>
      <c r="C1647" s="10">
        <v>1.75021213354873</v>
      </c>
      <c r="D1647" s="10">
        <v>15.9465439856885</v>
      </c>
      <c r="E1647" s="10">
        <v>3.7575173382394201E-3</v>
      </c>
      <c r="F1647" s="10" t="str">
        <f>"PLA2G4C"</f>
        <v>PLA2G4C</v>
      </c>
      <c r="G1647" s="10" t="str">
        <f>"protein_coding"</f>
        <v>protein_coding</v>
      </c>
      <c r="J1647" s="14"/>
    </row>
    <row r="1648" spans="1:10" x14ac:dyDescent="0.2">
      <c r="A1648" s="10" t="str">
        <f>"ENSG00000182324.6"</f>
        <v>ENSG00000182324.6</v>
      </c>
      <c r="B1648" s="10">
        <v>1.87486114285302</v>
      </c>
      <c r="C1648" s="10">
        <v>-1.34625747064454</v>
      </c>
      <c r="D1648" s="10">
        <v>9.3917374481703604</v>
      </c>
      <c r="E1648" s="10">
        <v>1.4945199098980301E-2</v>
      </c>
      <c r="F1648" s="10" t="str">
        <f>"KCNJ14"</f>
        <v>KCNJ14</v>
      </c>
      <c r="G1648" s="10" t="str">
        <f>"protein_coding"</f>
        <v>protein_coding</v>
      </c>
      <c r="J1648" s="14"/>
    </row>
    <row r="1649" spans="1:10" x14ac:dyDescent="0.2">
      <c r="A1649" s="10" t="str">
        <f>"ENSG00000088002.11"</f>
        <v>ENSG00000088002.11</v>
      </c>
      <c r="B1649" s="10">
        <v>-1.9014729930515799</v>
      </c>
      <c r="C1649" s="10">
        <v>-1.3460692140164801</v>
      </c>
      <c r="D1649" s="10">
        <v>11.0023106241592</v>
      </c>
      <c r="E1649" s="10">
        <v>1.01611004306236E-2</v>
      </c>
      <c r="F1649" s="10" t="str">
        <f>"SULT2B1"</f>
        <v>SULT2B1</v>
      </c>
      <c r="G1649" s="10" t="str">
        <f>"protein_coding"</f>
        <v>protein_coding</v>
      </c>
      <c r="J1649" s="14"/>
    </row>
    <row r="1650" spans="1:10" x14ac:dyDescent="0.2">
      <c r="A1650" s="10" t="str">
        <f>"ENSG00000286024.1"</f>
        <v>ENSG00000286024.1</v>
      </c>
      <c r="B1650" s="10">
        <v>1.65295070386249</v>
      </c>
      <c r="C1650" s="10">
        <v>0.68970191334705899</v>
      </c>
      <c r="D1650" s="10">
        <v>13.3639381054338</v>
      </c>
      <c r="E1650" s="10">
        <v>6.3064135538773202E-3</v>
      </c>
      <c r="F1650" s="10" t="str">
        <f>"AC026803.3"</f>
        <v>AC026803.3</v>
      </c>
      <c r="G1650" s="10" t="str">
        <f>"antisense"</f>
        <v>antisense</v>
      </c>
      <c r="J1650" s="14"/>
    </row>
    <row r="1651" spans="1:10" x14ac:dyDescent="0.2">
      <c r="A1651" s="10" t="str">
        <f>"ENSG00000087076.9"</f>
        <v>ENSG00000087076.9</v>
      </c>
      <c r="B1651" s="10">
        <v>-1.0051607586560301</v>
      </c>
      <c r="C1651" s="10">
        <v>0.695266213590503</v>
      </c>
      <c r="D1651" s="10">
        <v>5.88947409723741</v>
      </c>
      <c r="E1651" s="10">
        <v>4.1048185324428298E-2</v>
      </c>
      <c r="F1651" s="10" t="str">
        <f>"HSD17B14"</f>
        <v>HSD17B14</v>
      </c>
      <c r="G1651" s="10" t="str">
        <f>"protein_coding"</f>
        <v>protein_coding</v>
      </c>
      <c r="J1651" s="14"/>
    </row>
    <row r="1652" spans="1:10" x14ac:dyDescent="0.2">
      <c r="A1652" s="10" t="str">
        <f>"ENSG00000267898.1"</f>
        <v>ENSG00000267898.1</v>
      </c>
      <c r="B1652" s="10">
        <v>-1.15960838389557</v>
      </c>
      <c r="C1652" s="10">
        <v>-0.64819395530175405</v>
      </c>
      <c r="D1652" s="10">
        <v>5.4406187509446102</v>
      </c>
      <c r="E1652" s="10">
        <v>4.7499927341472299E-2</v>
      </c>
      <c r="F1652" s="10" t="str">
        <f>"AC026803.2"</f>
        <v>AC026803.2</v>
      </c>
      <c r="G1652" s="10" t="str">
        <f>"lincRNA"</f>
        <v>lincRNA</v>
      </c>
      <c r="J1652" s="14"/>
    </row>
    <row r="1653" spans="1:10" x14ac:dyDescent="0.2">
      <c r="A1653" s="10" t="str">
        <f>"ENSG00000225950.8"</f>
        <v>ENSG00000225950.8</v>
      </c>
      <c r="B1653" s="10">
        <v>-1.6449714749714299</v>
      </c>
      <c r="C1653" s="10">
        <v>1.6487928318221801</v>
      </c>
      <c r="D1653" s="10">
        <v>7.8390926407134396</v>
      </c>
      <c r="E1653" s="10">
        <v>2.2924820735283898E-2</v>
      </c>
      <c r="F1653" s="10" t="str">
        <f>"NTF4"</f>
        <v>NTF4</v>
      </c>
      <c r="G1653" s="10" t="str">
        <f>"protein_coding"</f>
        <v>protein_coding</v>
      </c>
      <c r="J1653" s="14"/>
    </row>
    <row r="1654" spans="1:10" x14ac:dyDescent="0.2">
      <c r="A1654" s="10" t="str">
        <f>"ENSG00000268287.1"</f>
        <v>ENSG00000268287.1</v>
      </c>
      <c r="B1654" s="10">
        <v>-1.89960136542373</v>
      </c>
      <c r="C1654" s="10">
        <v>-0.119104929062534</v>
      </c>
      <c r="D1654" s="10">
        <v>9.8930434815627297</v>
      </c>
      <c r="E1654" s="10">
        <v>1.3483101748531999E-2</v>
      </c>
      <c r="F1654" s="10" t="str">
        <f>"AC008687.3"</f>
        <v>AC008687.3</v>
      </c>
      <c r="G1654" s="10" t="str">
        <f>"lincRNA"</f>
        <v>lincRNA</v>
      </c>
      <c r="J1654" s="14"/>
    </row>
    <row r="1655" spans="1:10" x14ac:dyDescent="0.2">
      <c r="A1655" s="10" t="str">
        <f>"ENSG00000104848.1"</f>
        <v>ENSG00000104848.1</v>
      </c>
      <c r="B1655" s="10">
        <v>-2.2708337003411199</v>
      </c>
      <c r="C1655" s="10">
        <v>2.04178885634526</v>
      </c>
      <c r="D1655" s="10">
        <v>6.4744372037162297</v>
      </c>
      <c r="E1655" s="10">
        <v>3.4135505193871103E-2</v>
      </c>
      <c r="F1655" s="10" t="str">
        <f>"KCNA7"</f>
        <v>KCNA7</v>
      </c>
      <c r="G1655" s="10" t="str">
        <f>"protein_coding"</f>
        <v>protein_coding</v>
      </c>
      <c r="J1655" s="14"/>
    </row>
    <row r="1656" spans="1:10" x14ac:dyDescent="0.2">
      <c r="A1656" s="10" t="str">
        <f>"ENSG00000177380.14"</f>
        <v>ENSG00000177380.14</v>
      </c>
      <c r="B1656" s="10">
        <v>-1.4616990689327301</v>
      </c>
      <c r="C1656" s="10">
        <v>3.2710443343091198</v>
      </c>
      <c r="D1656" s="10">
        <v>17.179495662441798</v>
      </c>
      <c r="E1656" s="10">
        <v>3.1463836933154502E-3</v>
      </c>
      <c r="F1656" s="10" t="str">
        <f>"PPFIA3"</f>
        <v>PPFIA3</v>
      </c>
      <c r="G1656" s="10" t="str">
        <f>"protein_coding"</f>
        <v>protein_coding</v>
      </c>
      <c r="J1656" s="14"/>
    </row>
    <row r="1657" spans="1:10" x14ac:dyDescent="0.2">
      <c r="A1657" s="10" t="str">
        <f>"ENSG00000204653.10"</f>
        <v>ENSG00000204653.10</v>
      </c>
      <c r="B1657" s="10">
        <v>1.56704585388835</v>
      </c>
      <c r="C1657" s="10">
        <v>-0.40247045006799098</v>
      </c>
      <c r="D1657" s="10">
        <v>13.4469149504068</v>
      </c>
      <c r="E1657" s="10">
        <v>6.0257373617385503E-3</v>
      </c>
      <c r="F1657" s="10" t="str">
        <f>"ASPDH"</f>
        <v>ASPDH</v>
      </c>
      <c r="G1657" s="10" t="str">
        <f>"protein_coding"</f>
        <v>protein_coding</v>
      </c>
      <c r="J1657" s="14"/>
    </row>
    <row r="1658" spans="1:10" x14ac:dyDescent="0.2">
      <c r="A1658" s="10" t="str">
        <f>"ENSG00000161681.15"</f>
        <v>ENSG00000161681.15</v>
      </c>
      <c r="B1658" s="10">
        <v>-3.2412918093733998</v>
      </c>
      <c r="C1658" s="10">
        <v>-2.0466454615329401</v>
      </c>
      <c r="D1658" s="10">
        <v>9.8577435129113997</v>
      </c>
      <c r="E1658" s="10">
        <v>1.3545619031902699E-2</v>
      </c>
      <c r="F1658" s="10" t="str">
        <f>"SHANK1"</f>
        <v>SHANK1</v>
      </c>
      <c r="G1658" s="10" t="str">
        <f>"protein_coding"</f>
        <v>protein_coding</v>
      </c>
      <c r="J1658" s="14"/>
    </row>
    <row r="1659" spans="1:10" x14ac:dyDescent="0.2">
      <c r="A1659" s="10" t="str">
        <f>"ENSG00000105383.15"</f>
        <v>ENSG00000105383.15</v>
      </c>
      <c r="B1659" s="10">
        <v>-2.0187285953951499</v>
      </c>
      <c r="C1659" s="10">
        <v>-0.97975562169993002</v>
      </c>
      <c r="D1659" s="10">
        <v>8.0208690576333499</v>
      </c>
      <c r="E1659" s="10">
        <v>2.1806135478905801E-2</v>
      </c>
      <c r="F1659" s="10" t="str">
        <f>"CD33"</f>
        <v>CD33</v>
      </c>
      <c r="G1659" s="10" t="str">
        <f>"protein_coding"</f>
        <v>protein_coding</v>
      </c>
      <c r="J1659" s="14"/>
    </row>
    <row r="1660" spans="1:10" x14ac:dyDescent="0.2">
      <c r="A1660" s="10" t="str">
        <f>"ENSG00000268520.1"</f>
        <v>ENSG00000268520.1</v>
      </c>
      <c r="B1660" s="10">
        <v>1.10514597467727</v>
      </c>
      <c r="C1660" s="10">
        <v>-0.61752864422988896</v>
      </c>
      <c r="D1660" s="10">
        <v>5.3630284978767797</v>
      </c>
      <c r="E1660" s="10">
        <v>4.8652616570856198E-2</v>
      </c>
      <c r="F1660" s="10" t="str">
        <f>"AC008750.5"</f>
        <v>AC008750.5</v>
      </c>
      <c r="G1660" s="10" t="str">
        <f>"sense_intronic"</f>
        <v>sense_intronic</v>
      </c>
      <c r="J1660" s="14"/>
    </row>
    <row r="1661" spans="1:10" x14ac:dyDescent="0.2">
      <c r="A1661" s="10" t="str">
        <f>"ENSG00000142512.15"</f>
        <v>ENSG00000142512.15</v>
      </c>
      <c r="B1661" s="10">
        <v>-1.47596611422339</v>
      </c>
      <c r="C1661" s="10">
        <v>-0.30298571627441001</v>
      </c>
      <c r="D1661" s="10">
        <v>9.9594258404847409</v>
      </c>
      <c r="E1661" s="10">
        <v>1.3269072070512601E-2</v>
      </c>
      <c r="F1661" s="10" t="str">
        <f>"SIGLEC10"</f>
        <v>SIGLEC10</v>
      </c>
      <c r="G1661" s="10" t="str">
        <f>"protein_coding"</f>
        <v>protein_coding</v>
      </c>
      <c r="J1661" s="14"/>
    </row>
    <row r="1662" spans="1:10" x14ac:dyDescent="0.2">
      <c r="A1662" s="10" t="str">
        <f>"ENSG00000283236.1"</f>
        <v>ENSG00000283236.1</v>
      </c>
      <c r="B1662" s="10">
        <v>-1.1013106797554499</v>
      </c>
      <c r="C1662" s="10">
        <v>0.517752177647539</v>
      </c>
      <c r="D1662" s="10">
        <v>10.0510782152872</v>
      </c>
      <c r="E1662" s="10">
        <v>1.27036139441748E-2</v>
      </c>
      <c r="F1662" s="10" t="str">
        <f>"AC074141.1"</f>
        <v>AC074141.1</v>
      </c>
      <c r="G1662" s="10" t="str">
        <f>"transcribed_unprocessed_pseudogene"</f>
        <v>transcribed_unprocessed_pseudogene</v>
      </c>
      <c r="J1662" s="14"/>
    </row>
    <row r="1663" spans="1:10" x14ac:dyDescent="0.2">
      <c r="A1663" s="10" t="str">
        <f>"ENSG00000179820.16"</f>
        <v>ENSG00000179820.16</v>
      </c>
      <c r="B1663" s="10">
        <v>1.03047591409964</v>
      </c>
      <c r="C1663" s="10">
        <v>5.4884450252382404</v>
      </c>
      <c r="D1663" s="10">
        <v>6.3793920703177003</v>
      </c>
      <c r="E1663" s="10">
        <v>3.5152288717739399E-2</v>
      </c>
      <c r="F1663" s="10" t="str">
        <f>"MYADM"</f>
        <v>MYADM</v>
      </c>
      <c r="G1663" s="10" t="str">
        <f>"protein_coding"</f>
        <v>protein_coding</v>
      </c>
      <c r="J1663" s="14"/>
    </row>
    <row r="1664" spans="1:10" x14ac:dyDescent="0.2">
      <c r="A1664" s="10" t="str">
        <f>"ENSG00000237017.1"</f>
        <v>ENSG00000237017.1</v>
      </c>
      <c r="B1664" s="10">
        <v>-1.0618063954613399</v>
      </c>
      <c r="C1664" s="10">
        <v>6.0845673422459501E-2</v>
      </c>
      <c r="D1664" s="10">
        <v>6.1692448501758301</v>
      </c>
      <c r="E1664" s="10">
        <v>3.7540260706833098E-2</v>
      </c>
      <c r="F1664" s="10" t="str">
        <f>"AC245052.4"</f>
        <v>AC245052.4</v>
      </c>
      <c r="G1664" s="10" t="str">
        <f>"antisense"</f>
        <v>antisense</v>
      </c>
      <c r="J1664" s="14"/>
    </row>
    <row r="1665" spans="1:10" x14ac:dyDescent="0.2">
      <c r="A1665" s="10" t="str">
        <f>"ENSG00000167608.11"</f>
        <v>ENSG00000167608.11</v>
      </c>
      <c r="B1665" s="10">
        <v>-1.3189103523136101</v>
      </c>
      <c r="C1665" s="10">
        <v>1.6724149406127999</v>
      </c>
      <c r="D1665" s="10">
        <v>8.7400783619849598</v>
      </c>
      <c r="E1665" s="10">
        <v>1.8000265578469801E-2</v>
      </c>
      <c r="F1665" s="10" t="str">
        <f>"TMC4"</f>
        <v>TMC4</v>
      </c>
      <c r="G1665" s="10" t="str">
        <f t="shared" ref="G1665:G1672" si="65">"protein_coding"</f>
        <v>protein_coding</v>
      </c>
      <c r="J1665" s="14"/>
    </row>
    <row r="1666" spans="1:10" x14ac:dyDescent="0.2">
      <c r="A1666" s="10" t="str">
        <f>"ENSG00000167618.10"</f>
        <v>ENSG00000167618.10</v>
      </c>
      <c r="B1666" s="10">
        <v>1.41990622643688</v>
      </c>
      <c r="C1666" s="10">
        <v>-0.36030538160939002</v>
      </c>
      <c r="D1666" s="10">
        <v>5.7711646355844399</v>
      </c>
      <c r="E1666" s="10">
        <v>4.2656456032964397E-2</v>
      </c>
      <c r="F1666" s="10" t="str">
        <f>"LAIR2"</f>
        <v>LAIR2</v>
      </c>
      <c r="G1666" s="10" t="str">
        <f t="shared" si="65"/>
        <v>protein_coding</v>
      </c>
      <c r="J1666" s="14"/>
    </row>
    <row r="1667" spans="1:10" x14ac:dyDescent="0.2">
      <c r="A1667" s="10" t="str">
        <f>"ENSG00000167646.13"</f>
        <v>ENSG00000167646.13</v>
      </c>
      <c r="B1667" s="10">
        <v>-1.6170225816358299</v>
      </c>
      <c r="C1667" s="10">
        <v>1.1920153221721299</v>
      </c>
      <c r="D1667" s="10">
        <v>12.449306995591799</v>
      </c>
      <c r="E1667" s="10">
        <v>7.5990976249849301E-3</v>
      </c>
      <c r="F1667" s="10" t="str">
        <f>"DNAAF3"</f>
        <v>DNAAF3</v>
      </c>
      <c r="G1667" s="10" t="str">
        <f t="shared" si="65"/>
        <v>protein_coding</v>
      </c>
      <c r="J1667" s="14"/>
    </row>
    <row r="1668" spans="1:10" x14ac:dyDescent="0.2">
      <c r="A1668" s="10" t="str">
        <f>"ENSG00000187550.8"</f>
        <v>ENSG00000187550.8</v>
      </c>
      <c r="B1668" s="10">
        <v>-1.60995154125538</v>
      </c>
      <c r="C1668" s="10">
        <v>0.304440692763012</v>
      </c>
      <c r="D1668" s="10">
        <v>7.5699806096702398</v>
      </c>
      <c r="E1668" s="10">
        <v>2.4717341623583002E-2</v>
      </c>
      <c r="F1668" s="10" t="str">
        <f>"SBK2"</f>
        <v>SBK2</v>
      </c>
      <c r="G1668" s="10" t="str">
        <f t="shared" si="65"/>
        <v>protein_coding</v>
      </c>
      <c r="J1668" s="14"/>
    </row>
    <row r="1669" spans="1:10" x14ac:dyDescent="0.2">
      <c r="A1669" s="10" t="str">
        <f>"ENSG00000231274.5"</f>
        <v>ENSG00000231274.5</v>
      </c>
      <c r="B1669" s="10">
        <v>1.1624093821294099</v>
      </c>
      <c r="C1669" s="10">
        <v>1.3999001995708</v>
      </c>
      <c r="D1669" s="10">
        <v>7.3895234295612999</v>
      </c>
      <c r="E1669" s="10">
        <v>2.6019113253233202E-2</v>
      </c>
      <c r="F1669" s="10" t="str">
        <f>"SBK3"</f>
        <v>SBK3</v>
      </c>
      <c r="G1669" s="10" t="str">
        <f t="shared" si="65"/>
        <v>protein_coding</v>
      </c>
      <c r="J1669" s="14"/>
    </row>
    <row r="1670" spans="1:10" x14ac:dyDescent="0.2">
      <c r="A1670" s="10" t="str">
        <f>"ENSG00000171487.14"</f>
        <v>ENSG00000171487.14</v>
      </c>
      <c r="B1670" s="10">
        <v>-1.84164413305692</v>
      </c>
      <c r="C1670" s="10">
        <v>-0.54843643116292196</v>
      </c>
      <c r="D1670" s="10">
        <v>6.5925169368427898</v>
      </c>
      <c r="E1670" s="10">
        <v>3.2923577233285699E-2</v>
      </c>
      <c r="F1670" s="10" t="str">
        <f>"NLRP5"</f>
        <v>NLRP5</v>
      </c>
      <c r="G1670" s="10" t="str">
        <f t="shared" si="65"/>
        <v>protein_coding</v>
      </c>
      <c r="J1670" s="14"/>
    </row>
    <row r="1671" spans="1:10" x14ac:dyDescent="0.2">
      <c r="A1671" s="10" t="str">
        <f>"ENSG00000267710.9"</f>
        <v>ENSG00000267710.9</v>
      </c>
      <c r="B1671" s="10">
        <v>1.66657729618558</v>
      </c>
      <c r="C1671" s="10">
        <v>-0.48204965707348202</v>
      </c>
      <c r="D1671" s="10">
        <v>10.569601659717099</v>
      </c>
      <c r="E1671" s="10">
        <v>1.1488463404413901E-2</v>
      </c>
      <c r="F1671" s="10" t="str">
        <f>"EDDM13"</f>
        <v>EDDM13</v>
      </c>
      <c r="G1671" s="10" t="str">
        <f t="shared" si="65"/>
        <v>protein_coding</v>
      </c>
      <c r="J1671" s="14"/>
    </row>
    <row r="1672" spans="1:10" x14ac:dyDescent="0.2">
      <c r="A1672" s="10" t="str">
        <f>"ENSG00000018869.16"</f>
        <v>ENSG00000018869.16</v>
      </c>
      <c r="B1672" s="10">
        <v>1.0744888504557899</v>
      </c>
      <c r="C1672" s="10">
        <v>0.62022493939341805</v>
      </c>
      <c r="D1672" s="10">
        <v>11.319580541231799</v>
      </c>
      <c r="E1672" s="10">
        <v>9.45722356468944E-3</v>
      </c>
      <c r="F1672" s="10" t="str">
        <f>"ZNF582"</f>
        <v>ZNF582</v>
      </c>
      <c r="G1672" s="10" t="str">
        <f t="shared" si="65"/>
        <v>protein_coding</v>
      </c>
      <c r="J1672" s="14"/>
    </row>
    <row r="1673" spans="1:10" x14ac:dyDescent="0.2">
      <c r="A1673" s="10" t="str">
        <f>"ENSG00000268654.2"</f>
        <v>ENSG00000268654.2</v>
      </c>
      <c r="B1673" s="10">
        <v>2.2651441001457902</v>
      </c>
      <c r="C1673" s="10">
        <v>0.32189718521233401</v>
      </c>
      <c r="D1673" s="10">
        <v>6.2519506364182904</v>
      </c>
      <c r="E1673" s="10">
        <v>3.65766363420977E-2</v>
      </c>
      <c r="F1673" s="10" t="str">
        <f>"MIMT1"</f>
        <v>MIMT1</v>
      </c>
      <c r="G1673" s="10" t="str">
        <f>"lincRNA"</f>
        <v>lincRNA</v>
      </c>
      <c r="J1673" s="14"/>
    </row>
    <row r="1674" spans="1:10" x14ac:dyDescent="0.2">
      <c r="A1674" s="10" t="str">
        <f>"ENSG00000196724.12"</f>
        <v>ENSG00000196724.12</v>
      </c>
      <c r="B1674" s="10">
        <v>-2.5299712778830101</v>
      </c>
      <c r="C1674" s="10">
        <v>-1.6297950108858601</v>
      </c>
      <c r="D1674" s="10">
        <v>9.5278822776443199</v>
      </c>
      <c r="E1674" s="10">
        <v>1.47412706015509E-2</v>
      </c>
      <c r="F1674" s="10" t="str">
        <f>"ZNF418"</f>
        <v>ZNF418</v>
      </c>
      <c r="G1674" s="10" t="str">
        <f>"protein_coding"</f>
        <v>protein_coding</v>
      </c>
      <c r="J1674" s="14"/>
    </row>
    <row r="1675" spans="1:10" x14ac:dyDescent="0.2">
      <c r="A1675" s="10" t="str">
        <f>"ENSG00000268912.1"</f>
        <v>ENSG00000268912.1</v>
      </c>
      <c r="B1675" s="10">
        <v>-1.5408943351940401</v>
      </c>
      <c r="C1675" s="10">
        <v>-1.02098371053408</v>
      </c>
      <c r="D1675" s="10">
        <v>8.9257090913628598</v>
      </c>
      <c r="E1675" s="10">
        <v>1.68342313407761E-2</v>
      </c>
      <c r="F1675" s="10" t="str">
        <f>"AC012313.5"</f>
        <v>AC012313.5</v>
      </c>
      <c r="G1675" s="10" t="str">
        <f>"lincRNA"</f>
        <v>lincRNA</v>
      </c>
      <c r="J1675" s="14"/>
    </row>
    <row r="1676" spans="1:10" x14ac:dyDescent="0.2">
      <c r="A1676" s="10" t="str">
        <f>"ENSG00000125898.13"</f>
        <v>ENSG00000125898.13</v>
      </c>
      <c r="B1676" s="10">
        <v>-1.2454238583430599</v>
      </c>
      <c r="C1676" s="10">
        <v>3.89377846750692</v>
      </c>
      <c r="D1676" s="10">
        <v>6.8942378235341</v>
      </c>
      <c r="E1676" s="10">
        <v>3.0065044774222199E-2</v>
      </c>
      <c r="F1676" s="10" t="str">
        <f>"FAM110A"</f>
        <v>FAM110A</v>
      </c>
      <c r="G1676" s="10" t="str">
        <f t="shared" ref="G1676:G1681" si="66">"protein_coding"</f>
        <v>protein_coding</v>
      </c>
      <c r="J1676" s="14"/>
    </row>
    <row r="1677" spans="1:10" x14ac:dyDescent="0.2">
      <c r="A1677" s="10" t="str">
        <f>"ENSG00000088881.20"</f>
        <v>ENSG00000088881.20</v>
      </c>
      <c r="B1677" s="10">
        <v>-2.1256348554065099</v>
      </c>
      <c r="C1677" s="10">
        <v>2.9464814313163901</v>
      </c>
      <c r="D1677" s="10">
        <v>23.736886565065301</v>
      </c>
      <c r="E1677" s="10">
        <v>1.1937248369552999E-3</v>
      </c>
      <c r="F1677" s="10" t="str">
        <f>"EBF4"</f>
        <v>EBF4</v>
      </c>
      <c r="G1677" s="10" t="str">
        <f t="shared" si="66"/>
        <v>protein_coding</v>
      </c>
      <c r="J1677" s="14"/>
    </row>
    <row r="1678" spans="1:10" x14ac:dyDescent="0.2">
      <c r="A1678" s="10" t="str">
        <f>"ENSG00000088836.13"</f>
        <v>ENSG00000088836.13</v>
      </c>
      <c r="B1678" s="10">
        <v>1.85598657194689</v>
      </c>
      <c r="C1678" s="10">
        <v>8.4797382845793603</v>
      </c>
      <c r="D1678" s="10">
        <v>9.3342030795496598</v>
      </c>
      <c r="E1678" s="10">
        <v>1.5468595711395699E-2</v>
      </c>
      <c r="F1678" s="10" t="str">
        <f>"SLC4A11"</f>
        <v>SLC4A11</v>
      </c>
      <c r="G1678" s="10" t="str">
        <f t="shared" si="66"/>
        <v>protein_coding</v>
      </c>
      <c r="J1678" s="14"/>
    </row>
    <row r="1679" spans="1:10" x14ac:dyDescent="0.2">
      <c r="A1679" s="10" t="str">
        <f>"ENSG00000171873.7"</f>
        <v>ENSG00000171873.7</v>
      </c>
      <c r="B1679" s="10">
        <v>2.59885002848999</v>
      </c>
      <c r="C1679" s="10">
        <v>1.7841024311128799</v>
      </c>
      <c r="D1679" s="10">
        <v>45.886304294373502</v>
      </c>
      <c r="E1679" s="10">
        <v>1.3368343304992201E-4</v>
      </c>
      <c r="F1679" s="10" t="str">
        <f>"ADRA1D"</f>
        <v>ADRA1D</v>
      </c>
      <c r="G1679" s="10" t="str">
        <f t="shared" si="66"/>
        <v>protein_coding</v>
      </c>
      <c r="J1679" s="14"/>
    </row>
    <row r="1680" spans="1:10" x14ac:dyDescent="0.2">
      <c r="A1680" s="10" t="str">
        <f>"ENSG00000125845.7"</f>
        <v>ENSG00000125845.7</v>
      </c>
      <c r="B1680" s="10">
        <v>-1.93016569100585</v>
      </c>
      <c r="C1680" s="10">
        <v>-0.56043448547380204</v>
      </c>
      <c r="D1680" s="10">
        <v>7.9053917910523097</v>
      </c>
      <c r="E1680" s="10">
        <v>2.2508603800076299E-2</v>
      </c>
      <c r="F1680" s="10" t="str">
        <f>"BMP2"</f>
        <v>BMP2</v>
      </c>
      <c r="G1680" s="10" t="str">
        <f t="shared" si="66"/>
        <v>protein_coding</v>
      </c>
      <c r="J1680" s="14"/>
    </row>
    <row r="1681" spans="1:10" x14ac:dyDescent="0.2">
      <c r="A1681" s="10" t="str">
        <f>"ENSG00000101333.16"</f>
        <v>ENSG00000101333.16</v>
      </c>
      <c r="B1681" s="10">
        <v>-1.5549470359931801</v>
      </c>
      <c r="C1681" s="10">
        <v>0.166985953034131</v>
      </c>
      <c r="D1681" s="10">
        <v>12.1221250698399</v>
      </c>
      <c r="E1681" s="10">
        <v>8.14109954757322E-3</v>
      </c>
      <c r="F1681" s="10" t="str">
        <f>"PLCB4"</f>
        <v>PLCB4</v>
      </c>
      <c r="G1681" s="10" t="str">
        <f t="shared" si="66"/>
        <v>protein_coding</v>
      </c>
      <c r="J1681" s="14"/>
    </row>
    <row r="1682" spans="1:10" x14ac:dyDescent="0.2">
      <c r="A1682" s="10" t="str">
        <f>"ENSG00000230990.1"</f>
        <v>ENSG00000230990.1</v>
      </c>
      <c r="B1682" s="10">
        <v>-2.4733528064654</v>
      </c>
      <c r="C1682" s="10">
        <v>-1.4098728328676899</v>
      </c>
      <c r="D1682" s="10">
        <v>9.7271721782418705</v>
      </c>
      <c r="E1682" s="10">
        <v>1.40371730188825E-2</v>
      </c>
      <c r="F1682" s="10" t="str">
        <f>"AL049649.1"</f>
        <v>AL049649.1</v>
      </c>
      <c r="G1682" s="10" t="str">
        <f>"lincRNA"</f>
        <v>lincRNA</v>
      </c>
      <c r="J1682" s="14"/>
    </row>
    <row r="1683" spans="1:10" x14ac:dyDescent="0.2">
      <c r="A1683" s="10" t="str">
        <f>"ENSG00000172296.13"</f>
        <v>ENSG00000172296.13</v>
      </c>
      <c r="B1683" s="10">
        <v>2.3421390663363701</v>
      </c>
      <c r="C1683" s="10">
        <v>3.1812043427212702</v>
      </c>
      <c r="D1683" s="10">
        <v>22.919585619935699</v>
      </c>
      <c r="E1683" s="10">
        <v>1.3308951221111501E-3</v>
      </c>
      <c r="F1683" s="10" t="str">
        <f>"SPTLC3"</f>
        <v>SPTLC3</v>
      </c>
      <c r="G1683" s="10" t="str">
        <f>"protein_coding"</f>
        <v>protein_coding</v>
      </c>
      <c r="J1683" s="14"/>
    </row>
    <row r="1684" spans="1:10" x14ac:dyDescent="0.2">
      <c r="A1684" s="10" t="str">
        <f>"ENSG00000101230.6"</f>
        <v>ENSG00000101230.6</v>
      </c>
      <c r="B1684" s="10">
        <v>-1.0756290332510501</v>
      </c>
      <c r="C1684" s="10">
        <v>3.02605785620164</v>
      </c>
      <c r="D1684" s="10">
        <v>12.557179134923</v>
      </c>
      <c r="E1684" s="10">
        <v>7.4303679016018403E-3</v>
      </c>
      <c r="F1684" s="10" t="str">
        <f>"ISM1"</f>
        <v>ISM1</v>
      </c>
      <c r="G1684" s="10" t="str">
        <f>"protein_coding"</f>
        <v>protein_coding</v>
      </c>
      <c r="J1684" s="14"/>
    </row>
    <row r="1685" spans="1:10" x14ac:dyDescent="0.2">
      <c r="A1685" s="10" t="str">
        <f>"ENSG00000232838.4"</f>
        <v>ENSG00000232838.4</v>
      </c>
      <c r="B1685" s="10">
        <v>1.00237129358587</v>
      </c>
      <c r="C1685" s="10">
        <v>1.9476359201440001</v>
      </c>
      <c r="D1685" s="10">
        <v>8.6922804404271705</v>
      </c>
      <c r="E1685" s="10">
        <v>1.8225876186142801E-2</v>
      </c>
      <c r="F1685" s="10" t="str">
        <f>"PET117"</f>
        <v>PET117</v>
      </c>
      <c r="G1685" s="10" t="str">
        <f>"protein_coding"</f>
        <v>protein_coding</v>
      </c>
      <c r="J1685" s="14"/>
    </row>
    <row r="1686" spans="1:10" x14ac:dyDescent="0.2">
      <c r="A1686" s="10" t="str">
        <f>"ENSG00000173404.5"</f>
        <v>ENSG00000173404.5</v>
      </c>
      <c r="B1686" s="10">
        <v>-1.58830373561227</v>
      </c>
      <c r="C1686" s="10">
        <v>0.219525968368358</v>
      </c>
      <c r="D1686" s="10">
        <v>5.6531413894138396</v>
      </c>
      <c r="E1686" s="10">
        <v>4.4341408280903299E-2</v>
      </c>
      <c r="F1686" s="10" t="str">
        <f>"INSM1"</f>
        <v>INSM1</v>
      </c>
      <c r="G1686" s="10" t="str">
        <f>"protein_coding"</f>
        <v>protein_coding</v>
      </c>
      <c r="J1686" s="14"/>
    </row>
    <row r="1687" spans="1:10" x14ac:dyDescent="0.2">
      <c r="A1687" s="10" t="str">
        <f>"ENSG00000088970.16"</f>
        <v>ENSG00000088970.16</v>
      </c>
      <c r="B1687" s="10">
        <v>1.2316885628134</v>
      </c>
      <c r="C1687" s="10">
        <v>7.5146601050221404</v>
      </c>
      <c r="D1687" s="10">
        <v>9.9192304225386092</v>
      </c>
      <c r="E1687" s="10">
        <v>1.33981557357445E-2</v>
      </c>
      <c r="F1687" s="10" t="str">
        <f>"KIZ"</f>
        <v>KIZ</v>
      </c>
      <c r="G1687" s="10" t="str">
        <f>"protein_coding"</f>
        <v>protein_coding</v>
      </c>
      <c r="J1687" s="14"/>
    </row>
    <row r="1688" spans="1:10" x14ac:dyDescent="0.2">
      <c r="A1688" s="10" t="str">
        <f>"ENSG00000232712.6"</f>
        <v>ENSG00000232712.6</v>
      </c>
      <c r="B1688" s="10">
        <v>1.0710039459763601</v>
      </c>
      <c r="C1688" s="10">
        <v>2.2606199931223898</v>
      </c>
      <c r="D1688" s="10">
        <v>11.197641203951701</v>
      </c>
      <c r="E1688" s="10">
        <v>9.9578881569834608E-3</v>
      </c>
      <c r="F1688" s="10" t="str">
        <f>"KIZ-AS1"</f>
        <v>KIZ-AS1</v>
      </c>
      <c r="G1688" s="10" t="str">
        <f>"antisense"</f>
        <v>antisense</v>
      </c>
      <c r="J1688" s="14"/>
    </row>
    <row r="1689" spans="1:10" x14ac:dyDescent="0.2">
      <c r="A1689" s="10" t="str">
        <f>"ENSG00000230400.2"</f>
        <v>ENSG00000230400.2</v>
      </c>
      <c r="B1689" s="10">
        <v>-2.9813387670342499</v>
      </c>
      <c r="C1689" s="10">
        <v>0.81140816348353295</v>
      </c>
      <c r="D1689" s="10">
        <v>38.122787369243703</v>
      </c>
      <c r="E1689" s="10">
        <v>2.5365131890922002E-4</v>
      </c>
      <c r="F1689" s="10" t="str">
        <f>"LINC01747"</f>
        <v>LINC01747</v>
      </c>
      <c r="G1689" s="10" t="str">
        <f>"lincRNA"</f>
        <v>lincRNA</v>
      </c>
      <c r="J1689" s="14"/>
    </row>
    <row r="1690" spans="1:10" x14ac:dyDescent="0.2">
      <c r="A1690" s="10" t="str">
        <f>"ENSG00000270001.1"</f>
        <v>ENSG00000270001.1</v>
      </c>
      <c r="B1690" s="10">
        <v>-1.0653682945884799</v>
      </c>
      <c r="C1690" s="10">
        <v>0.18300297612125799</v>
      </c>
      <c r="D1690" s="10">
        <v>6.0690877842886204</v>
      </c>
      <c r="E1690" s="10">
        <v>3.8750722393275101E-2</v>
      </c>
      <c r="F1690" s="10" t="str">
        <f>"AL121894.2"</f>
        <v>AL121894.2</v>
      </c>
      <c r="G1690" s="10" t="str">
        <f>"lincRNA"</f>
        <v>lincRNA</v>
      </c>
      <c r="J1690" s="14"/>
    </row>
    <row r="1691" spans="1:10" x14ac:dyDescent="0.2">
      <c r="A1691" s="10" t="str">
        <f>"ENSG00000101441.4"</f>
        <v>ENSG00000101441.4</v>
      </c>
      <c r="B1691" s="10">
        <v>-2.7283330016685898</v>
      </c>
      <c r="C1691" s="10">
        <v>1.30190654141889</v>
      </c>
      <c r="D1691" s="10">
        <v>12.189948143377</v>
      </c>
      <c r="E1691" s="10">
        <v>8.0248616977557606E-3</v>
      </c>
      <c r="F1691" s="10" t="str">
        <f>"CST4"</f>
        <v>CST4</v>
      </c>
      <c r="G1691" s="10" t="str">
        <f>"protein_coding"</f>
        <v>protein_coding</v>
      </c>
      <c r="J1691" s="14"/>
    </row>
    <row r="1692" spans="1:10" x14ac:dyDescent="0.2">
      <c r="A1692" s="10" t="str">
        <f>"ENSG00000170369.4"</f>
        <v>ENSG00000170369.4</v>
      </c>
      <c r="B1692" s="10">
        <v>-3.3463064694424798</v>
      </c>
      <c r="C1692" s="10">
        <v>-1.99227507819066</v>
      </c>
      <c r="D1692" s="10">
        <v>7.7849897018952596</v>
      </c>
      <c r="E1692" s="10">
        <v>2.3271683344447E-2</v>
      </c>
      <c r="F1692" s="10" t="str">
        <f>"CST2"</f>
        <v>CST2</v>
      </c>
      <c r="G1692" s="10" t="str">
        <f>"protein_coding"</f>
        <v>protein_coding</v>
      </c>
      <c r="J1692" s="14"/>
    </row>
    <row r="1693" spans="1:10" x14ac:dyDescent="0.2">
      <c r="A1693" s="10" t="str">
        <f>"ENSG00000170367.5"</f>
        <v>ENSG00000170367.5</v>
      </c>
      <c r="B1693" s="10">
        <v>-3.0808504867113302</v>
      </c>
      <c r="C1693" s="10">
        <v>2.5213412533621602</v>
      </c>
      <c r="D1693" s="10">
        <v>17.172336869510701</v>
      </c>
      <c r="E1693" s="10">
        <v>3.15015303412922E-3</v>
      </c>
      <c r="F1693" s="10" t="str">
        <f>"CST5"</f>
        <v>CST5</v>
      </c>
      <c r="G1693" s="10" t="str">
        <f>"protein_coding"</f>
        <v>protein_coding</v>
      </c>
      <c r="J1693" s="14"/>
    </row>
    <row r="1694" spans="1:10" x14ac:dyDescent="0.2">
      <c r="A1694" s="10" t="str">
        <f>"ENSG00000077984.6"</f>
        <v>ENSG00000077984.6</v>
      </c>
      <c r="B1694" s="10">
        <v>1.4962409340407901</v>
      </c>
      <c r="C1694" s="10">
        <v>-1.69581516667368</v>
      </c>
      <c r="D1694" s="10">
        <v>5.86232318196463</v>
      </c>
      <c r="E1694" s="10">
        <v>4.0926883338898198E-2</v>
      </c>
      <c r="F1694" s="10" t="str">
        <f>"CST7"</f>
        <v>CST7</v>
      </c>
      <c r="G1694" s="10" t="str">
        <f>"protein_coding"</f>
        <v>protein_coding</v>
      </c>
      <c r="J1694" s="14"/>
    </row>
    <row r="1695" spans="1:10" x14ac:dyDescent="0.2">
      <c r="A1695" s="10" t="str">
        <f>"ENSG00000277938.1"</f>
        <v>ENSG00000277938.1</v>
      </c>
      <c r="B1695" s="10">
        <v>-1.3220026254472299</v>
      </c>
      <c r="C1695" s="10">
        <v>-1.2436525246469201</v>
      </c>
      <c r="D1695" s="10">
        <v>5.9791547499667503</v>
      </c>
      <c r="E1695" s="10">
        <v>3.9403536699735502E-2</v>
      </c>
      <c r="F1695" s="10" t="str">
        <f>"AL035252.3"</f>
        <v>AL035252.3</v>
      </c>
      <c r="G1695" s="10" t="str">
        <f>"lincRNA"</f>
        <v>lincRNA</v>
      </c>
      <c r="J1695" s="14"/>
    </row>
    <row r="1696" spans="1:10" x14ac:dyDescent="0.2">
      <c r="A1696" s="10" t="str">
        <f>"ENSG00000227379.2"</f>
        <v>ENSG00000227379.2</v>
      </c>
      <c r="B1696" s="10">
        <v>-3.1713946863969902</v>
      </c>
      <c r="C1696" s="10">
        <v>-2.0941363925071901</v>
      </c>
      <c r="D1696" s="10">
        <v>6.8664490661961999</v>
      </c>
      <c r="E1696" s="10">
        <v>3.0314850563111902E-2</v>
      </c>
      <c r="F1696" s="10" t="str">
        <f>"PPIAP2"</f>
        <v>PPIAP2</v>
      </c>
      <c r="G1696" s="10" t="str">
        <f>"processed_pseudogene"</f>
        <v>processed_pseudogene</v>
      </c>
      <c r="J1696" s="14"/>
    </row>
    <row r="1697" spans="1:10" x14ac:dyDescent="0.2">
      <c r="A1697" s="10" t="str">
        <f>"ENSG00000278383.1"</f>
        <v>ENSG00000278383.1</v>
      </c>
      <c r="B1697" s="10">
        <v>-1.8892951913454199</v>
      </c>
      <c r="C1697" s="10">
        <v>0.36876651386119402</v>
      </c>
      <c r="D1697" s="10">
        <v>26.2864035570291</v>
      </c>
      <c r="E1697" s="10">
        <v>8.2116349265747804E-4</v>
      </c>
      <c r="F1697" s="10" t="str">
        <f>"AL031673.1"</f>
        <v>AL031673.1</v>
      </c>
      <c r="G1697" s="10" t="str">
        <f>"antisense"</f>
        <v>antisense</v>
      </c>
      <c r="J1697" s="14"/>
    </row>
    <row r="1698" spans="1:10" x14ac:dyDescent="0.2">
      <c r="A1698" s="10" t="str">
        <f>"ENSG00000230772.1"</f>
        <v>ENSG00000230772.1</v>
      </c>
      <c r="B1698" s="10">
        <v>1.46224976630645</v>
      </c>
      <c r="C1698" s="10">
        <v>-0.92892964711630699</v>
      </c>
      <c r="D1698" s="10">
        <v>6.6919395075203001</v>
      </c>
      <c r="E1698" s="10">
        <v>3.19450856026759E-2</v>
      </c>
      <c r="F1698" s="10" t="str">
        <f>"VN1R108P"</f>
        <v>VN1R108P</v>
      </c>
      <c r="G1698" s="10" t="str">
        <f>"unprocessed_pseudogene"</f>
        <v>unprocessed_pseudogene</v>
      </c>
      <c r="J1698" s="14"/>
    </row>
    <row r="1699" spans="1:10" x14ac:dyDescent="0.2">
      <c r="A1699" s="10" t="str">
        <f>"ENSG00000175170.15"</f>
        <v>ENSG00000175170.15</v>
      </c>
      <c r="B1699" s="10">
        <v>-1.44020407094046</v>
      </c>
      <c r="C1699" s="10">
        <v>2.25381398080461</v>
      </c>
      <c r="D1699" s="10">
        <v>6.2286441504337402</v>
      </c>
      <c r="E1699" s="10">
        <v>3.6844981641651897E-2</v>
      </c>
      <c r="F1699" s="10" t="str">
        <f>"FAM182B"</f>
        <v>FAM182B</v>
      </c>
      <c r="G1699" s="10" t="str">
        <f>"lincRNA"</f>
        <v>lincRNA</v>
      </c>
      <c r="J1699" s="14"/>
    </row>
    <row r="1700" spans="1:10" x14ac:dyDescent="0.2">
      <c r="A1700" s="10" t="str">
        <f>"ENSG00000125804.13"</f>
        <v>ENSG00000125804.13</v>
      </c>
      <c r="B1700" s="10">
        <v>-2.6111730061529901</v>
      </c>
      <c r="C1700" s="10">
        <v>-0.90205159748830999</v>
      </c>
      <c r="D1700" s="10">
        <v>13.5328554768265</v>
      </c>
      <c r="E1700" s="10">
        <v>6.0986705205708196E-3</v>
      </c>
      <c r="F1700" s="10" t="str">
        <f>"FAM182A"</f>
        <v>FAM182A</v>
      </c>
      <c r="G1700" s="10" t="str">
        <f>"processed_transcript"</f>
        <v>processed_transcript</v>
      </c>
      <c r="J1700" s="14"/>
    </row>
    <row r="1701" spans="1:10" x14ac:dyDescent="0.2">
      <c r="A1701" s="10" t="str">
        <f>"ENSG00000149599.15"</f>
        <v>ENSG00000149599.15</v>
      </c>
      <c r="B1701" s="10">
        <v>-1.5585658661214701</v>
      </c>
      <c r="C1701" s="10">
        <v>0.83463720793057805</v>
      </c>
      <c r="D1701" s="10">
        <v>18.6769757749436</v>
      </c>
      <c r="E1701" s="10">
        <v>2.4258058174199799E-3</v>
      </c>
      <c r="F1701" s="10" t="str">
        <f>"DUSP15"</f>
        <v>DUSP15</v>
      </c>
      <c r="G1701" s="10" t="str">
        <f>"protein_coding"</f>
        <v>protein_coding</v>
      </c>
      <c r="J1701" s="14"/>
    </row>
    <row r="1702" spans="1:10" x14ac:dyDescent="0.2">
      <c r="A1702" s="10" t="str">
        <f>"ENSG00000101331.15"</f>
        <v>ENSG00000101331.15</v>
      </c>
      <c r="B1702" s="10">
        <v>-2.5143102300490199</v>
      </c>
      <c r="C1702" s="10">
        <v>-1.3517679413250401</v>
      </c>
      <c r="D1702" s="10">
        <v>6.9574781426789896</v>
      </c>
      <c r="E1702" s="10">
        <v>2.9506174275818E-2</v>
      </c>
      <c r="F1702" s="10" t="str">
        <f>"CCM2L"</f>
        <v>CCM2L</v>
      </c>
      <c r="G1702" s="10" t="str">
        <f>"protein_coding"</f>
        <v>protein_coding</v>
      </c>
      <c r="J1702" s="14"/>
    </row>
    <row r="1703" spans="1:10" x14ac:dyDescent="0.2">
      <c r="A1703" s="10" t="str">
        <f>"ENSG00000101336.14"</f>
        <v>ENSG00000101336.14</v>
      </c>
      <c r="B1703" s="10">
        <v>-1.7357878148062</v>
      </c>
      <c r="C1703" s="10">
        <v>-1.2836795336734601</v>
      </c>
      <c r="D1703" s="10">
        <v>7.4974202465130704</v>
      </c>
      <c r="E1703" s="10">
        <v>2.50775424048525E-2</v>
      </c>
      <c r="F1703" s="10" t="str">
        <f>"HCK"</f>
        <v>HCK</v>
      </c>
      <c r="G1703" s="10" t="str">
        <f>"protein_coding"</f>
        <v>protein_coding</v>
      </c>
      <c r="J1703" s="14"/>
    </row>
    <row r="1704" spans="1:10" x14ac:dyDescent="0.2">
      <c r="A1704" s="10" t="str">
        <f>"ENSG00000275223.1"</f>
        <v>ENSG00000275223.1</v>
      </c>
      <c r="B1704" s="10">
        <v>1.16703164652161</v>
      </c>
      <c r="C1704" s="10">
        <v>0.65024209496621599</v>
      </c>
      <c r="D1704" s="10">
        <v>10.230145093406399</v>
      </c>
      <c r="E1704" s="10">
        <v>1.23332031119072E-2</v>
      </c>
      <c r="F1704" s="10" t="str">
        <f>"AL121906.2"</f>
        <v>AL121906.2</v>
      </c>
      <c r="G1704" s="10" t="str">
        <f>"lincRNA"</f>
        <v>lincRNA</v>
      </c>
      <c r="J1704" s="14"/>
    </row>
    <row r="1705" spans="1:10" x14ac:dyDescent="0.2">
      <c r="A1705" s="10" t="str">
        <f>"ENSG00000204117.1"</f>
        <v>ENSG00000204117.1</v>
      </c>
      <c r="B1705" s="10">
        <v>-1.39729517362012</v>
      </c>
      <c r="C1705" s="10">
        <v>-0.25450270332898201</v>
      </c>
      <c r="D1705" s="10">
        <v>8.1155169206203706</v>
      </c>
      <c r="E1705" s="10">
        <v>2.1250869600944002E-2</v>
      </c>
      <c r="F1705" s="10" t="str">
        <f>"AL162293.1"</f>
        <v>AL162293.1</v>
      </c>
      <c r="G1705" s="10" t="str">
        <f>"lincRNA"</f>
        <v>lincRNA</v>
      </c>
      <c r="J1705" s="14"/>
    </row>
    <row r="1706" spans="1:10" x14ac:dyDescent="0.2">
      <c r="A1706" s="10" t="str">
        <f>"ENSG00000132821.12"</f>
        <v>ENSG00000132821.12</v>
      </c>
      <c r="B1706" s="10">
        <v>-3.5420051975389799</v>
      </c>
      <c r="C1706" s="10">
        <v>-0.94171675531057597</v>
      </c>
      <c r="D1706" s="10">
        <v>19.520411926623801</v>
      </c>
      <c r="E1706" s="10">
        <v>2.1658237606683901E-3</v>
      </c>
      <c r="F1706" s="10" t="str">
        <f>"VSTM2L"</f>
        <v>VSTM2L</v>
      </c>
      <c r="G1706" s="10" t="str">
        <f>"protein_coding"</f>
        <v>protein_coding</v>
      </c>
      <c r="J1706" s="14"/>
    </row>
    <row r="1707" spans="1:10" x14ac:dyDescent="0.2">
      <c r="A1707" s="10" t="str">
        <f>"ENSG00000198959.12"</f>
        <v>ENSG00000198959.12</v>
      </c>
      <c r="B1707" s="10">
        <v>1.2199192083457799</v>
      </c>
      <c r="C1707" s="10">
        <v>6.5525074672318997</v>
      </c>
      <c r="D1707" s="10">
        <v>7.8443077726734201</v>
      </c>
      <c r="E1707" s="10">
        <v>2.28917311279285E-2</v>
      </c>
      <c r="F1707" s="10" t="str">
        <f>"TGM2"</f>
        <v>TGM2</v>
      </c>
      <c r="G1707" s="10" t="str">
        <f>"protein_coding"</f>
        <v>protein_coding</v>
      </c>
      <c r="J1707" s="14"/>
    </row>
    <row r="1708" spans="1:10" x14ac:dyDescent="0.2">
      <c r="A1708" s="10" t="str">
        <f>"ENSG00000124143.10"</f>
        <v>ENSG00000124143.10</v>
      </c>
      <c r="B1708" s="10">
        <v>1.6417181226384301</v>
      </c>
      <c r="C1708" s="10">
        <v>1.7485027780001401</v>
      </c>
      <c r="D1708" s="10">
        <v>19.1304191475657</v>
      </c>
      <c r="E1708" s="10">
        <v>2.2993992016517098E-3</v>
      </c>
      <c r="F1708" s="10" t="str">
        <f>"ARHGAP40"</f>
        <v>ARHGAP40</v>
      </c>
      <c r="G1708" s="10" t="str">
        <f>"protein_coding"</f>
        <v>protein_coding</v>
      </c>
      <c r="J1708" s="14"/>
    </row>
    <row r="1709" spans="1:10" x14ac:dyDescent="0.2">
      <c r="A1709" s="10" t="str">
        <f>"ENSG00000204103.4"</f>
        <v>ENSG00000204103.4</v>
      </c>
      <c r="B1709" s="10">
        <v>-2.5342504436217199</v>
      </c>
      <c r="C1709" s="10">
        <v>5.1859737176088201</v>
      </c>
      <c r="D1709" s="10">
        <v>12.275605616785899</v>
      </c>
      <c r="E1709" s="10">
        <v>7.8810145810135398E-3</v>
      </c>
      <c r="F1709" s="10" t="str">
        <f>"MAFB"</f>
        <v>MAFB</v>
      </c>
      <c r="G1709" s="10" t="str">
        <f>"protein_coding"</f>
        <v>protein_coding</v>
      </c>
      <c r="J1709" s="14"/>
    </row>
    <row r="1710" spans="1:10" x14ac:dyDescent="0.2">
      <c r="A1710" s="10" t="str">
        <f>"ENSG00000229771.2"</f>
        <v>ENSG00000229771.2</v>
      </c>
      <c r="B1710" s="10">
        <v>-2.2539032409480702</v>
      </c>
      <c r="C1710" s="10">
        <v>-1.32075872500435</v>
      </c>
      <c r="D1710" s="10">
        <v>6.1626348123384398</v>
      </c>
      <c r="E1710" s="10">
        <v>3.7618656898662499E-2</v>
      </c>
      <c r="F1710" s="10" t="str">
        <f>"AL035665.1"</f>
        <v>AL035665.1</v>
      </c>
      <c r="G1710" s="10" t="str">
        <f>"lincRNA"</f>
        <v>lincRNA</v>
      </c>
      <c r="J1710" s="14"/>
    </row>
    <row r="1711" spans="1:10" x14ac:dyDescent="0.2">
      <c r="A1711" s="10" t="str">
        <f>"ENSG00000226648.1"</f>
        <v>ENSG00000226648.1</v>
      </c>
      <c r="B1711" s="10">
        <v>-1.9238485735064701</v>
      </c>
      <c r="C1711" s="10">
        <v>0.50241654572481598</v>
      </c>
      <c r="D1711" s="10">
        <v>29.824388506141499</v>
      </c>
      <c r="E1711" s="10">
        <v>5.4338600474633199E-4</v>
      </c>
      <c r="F1711" s="10" t="str">
        <f>"PLCG1-AS1"</f>
        <v>PLCG1-AS1</v>
      </c>
      <c r="G1711" s="10" t="str">
        <f>"antisense"</f>
        <v>antisense</v>
      </c>
      <c r="J1711" s="14"/>
    </row>
    <row r="1712" spans="1:10" x14ac:dyDescent="0.2">
      <c r="A1712" s="10" t="str">
        <f>"ENSG00000183798.5"</f>
        <v>ENSG00000183798.5</v>
      </c>
      <c r="B1712" s="10">
        <v>-1.93465155942024</v>
      </c>
      <c r="C1712" s="10">
        <v>1.2871540881501999</v>
      </c>
      <c r="D1712" s="10">
        <v>11.902611382574401</v>
      </c>
      <c r="E1712" s="10">
        <v>8.5320721587565304E-3</v>
      </c>
      <c r="F1712" s="10" t="str">
        <f>"EMILIN3"</f>
        <v>EMILIN3</v>
      </c>
      <c r="G1712" s="10" t="str">
        <f>"protein_coding"</f>
        <v>protein_coding</v>
      </c>
      <c r="J1712" s="14"/>
    </row>
    <row r="1713" spans="1:10" x14ac:dyDescent="0.2">
      <c r="A1713" s="10" t="str">
        <f>"ENSG00000124194.16"</f>
        <v>ENSG00000124194.16</v>
      </c>
      <c r="B1713" s="10">
        <v>-2.80605913094591</v>
      </c>
      <c r="C1713" s="10">
        <v>-1.8048517359246601</v>
      </c>
      <c r="D1713" s="10">
        <v>6.7057414244008999</v>
      </c>
      <c r="E1713" s="10">
        <v>3.1812173791598598E-2</v>
      </c>
      <c r="F1713" s="10" t="str">
        <f>"GDAP1L1"</f>
        <v>GDAP1L1</v>
      </c>
      <c r="G1713" s="10" t="str">
        <f>"protein_coding"</f>
        <v>protein_coding</v>
      </c>
      <c r="J1713" s="14"/>
    </row>
    <row r="1714" spans="1:10" x14ac:dyDescent="0.2">
      <c r="A1714" s="10" t="str">
        <f>"ENSG00000229005.2"</f>
        <v>ENSG00000229005.2</v>
      </c>
      <c r="B1714" s="10">
        <v>2.0964145975458601</v>
      </c>
      <c r="C1714" s="10">
        <v>1.0461426799993301</v>
      </c>
      <c r="D1714" s="10">
        <v>5.7623501013029399</v>
      </c>
      <c r="E1714" s="10">
        <v>4.2779455635808199E-2</v>
      </c>
      <c r="F1714" s="10" t="str">
        <f>"HNF4A-AS1"</f>
        <v>HNF4A-AS1</v>
      </c>
      <c r="G1714" s="10" t="str">
        <f>"antisense"</f>
        <v>antisense</v>
      </c>
      <c r="J1714" s="14"/>
    </row>
    <row r="1715" spans="1:10" x14ac:dyDescent="0.2">
      <c r="A1715" s="10" t="str">
        <f>"ENSG00000168734.14"</f>
        <v>ENSG00000168734.14</v>
      </c>
      <c r="B1715" s="10">
        <v>1.00201406507363</v>
      </c>
      <c r="C1715" s="10">
        <v>4.4188026005747103</v>
      </c>
      <c r="D1715" s="10">
        <v>21.136494928509201</v>
      </c>
      <c r="E1715" s="10">
        <v>1.6760634831723901E-3</v>
      </c>
      <c r="F1715" s="10" t="str">
        <f>"PKIG"</f>
        <v>PKIG</v>
      </c>
      <c r="G1715" s="10" t="str">
        <f t="shared" ref="G1715:G1720" si="67">"protein_coding"</f>
        <v>protein_coding</v>
      </c>
      <c r="J1715" s="14"/>
    </row>
    <row r="1716" spans="1:10" x14ac:dyDescent="0.2">
      <c r="A1716" s="10" t="str">
        <f>"ENSG00000101098.12"</f>
        <v>ENSG00000101098.12</v>
      </c>
      <c r="B1716" s="10">
        <v>-1.01701089172253</v>
      </c>
      <c r="C1716" s="10">
        <v>4.4725611193203001</v>
      </c>
      <c r="D1716" s="10">
        <v>5.54011698821978</v>
      </c>
      <c r="E1716" s="10">
        <v>4.6035052205383203E-2</v>
      </c>
      <c r="F1716" s="10" t="str">
        <f>"RIMS4"</f>
        <v>RIMS4</v>
      </c>
      <c r="G1716" s="10" t="str">
        <f t="shared" si="67"/>
        <v>protein_coding</v>
      </c>
      <c r="J1716" s="14"/>
    </row>
    <row r="1717" spans="1:10" x14ac:dyDescent="0.2">
      <c r="A1717" s="10" t="str">
        <f>"ENSG00000124102.5"</f>
        <v>ENSG00000124102.5</v>
      </c>
      <c r="B1717" s="10">
        <v>3.08623300044925</v>
      </c>
      <c r="C1717" s="10">
        <v>-1.42485810454075</v>
      </c>
      <c r="D1717" s="10">
        <v>5.9680526048849396</v>
      </c>
      <c r="E1717" s="10">
        <v>4.0022385323755301E-2</v>
      </c>
      <c r="F1717" s="10" t="str">
        <f>"PI3"</f>
        <v>PI3</v>
      </c>
      <c r="G1717" s="10" t="str">
        <f t="shared" si="67"/>
        <v>protein_coding</v>
      </c>
      <c r="J1717" s="14"/>
    </row>
    <row r="1718" spans="1:10" x14ac:dyDescent="0.2">
      <c r="A1718" s="10" t="str">
        <f>"ENSG00000101443.18"</f>
        <v>ENSG00000101443.18</v>
      </c>
      <c r="B1718" s="10">
        <v>-2.0711367542264898</v>
      </c>
      <c r="C1718" s="10">
        <v>3.04470163087354</v>
      </c>
      <c r="D1718" s="10">
        <v>17.346845877168299</v>
      </c>
      <c r="E1718" s="10">
        <v>3.0598533209809601E-3</v>
      </c>
      <c r="F1718" s="10" t="str">
        <f>"WFDC2"</f>
        <v>WFDC2</v>
      </c>
      <c r="G1718" s="10" t="str">
        <f t="shared" si="67"/>
        <v>protein_coding</v>
      </c>
      <c r="J1718" s="14"/>
    </row>
    <row r="1719" spans="1:10" x14ac:dyDescent="0.2">
      <c r="A1719" s="10" t="str">
        <f>"ENSG00000124116.19"</f>
        <v>ENSG00000124116.19</v>
      </c>
      <c r="B1719" s="10">
        <v>-2.5181709023295702</v>
      </c>
      <c r="C1719" s="10">
        <v>-1.3837265638868601</v>
      </c>
      <c r="D1719" s="10">
        <v>6.8691549832974603</v>
      </c>
      <c r="E1719" s="10">
        <v>3.0290410821283E-2</v>
      </c>
      <c r="F1719" s="10" t="str">
        <f>"WFDC3"</f>
        <v>WFDC3</v>
      </c>
      <c r="G1719" s="10" t="str">
        <f t="shared" si="67"/>
        <v>protein_coding</v>
      </c>
      <c r="J1719" s="14"/>
    </row>
    <row r="1720" spans="1:10" x14ac:dyDescent="0.2">
      <c r="A1720" s="10" t="str">
        <f>"ENSG00000196562.14"</f>
        <v>ENSG00000196562.14</v>
      </c>
      <c r="B1720" s="10">
        <v>-1.15196917789616</v>
      </c>
      <c r="C1720" s="10">
        <v>9.6104466927390799</v>
      </c>
      <c r="D1720" s="10">
        <v>6.3843938992033999</v>
      </c>
      <c r="E1720" s="10">
        <v>3.50978313057713E-2</v>
      </c>
      <c r="F1720" s="10" t="str">
        <f>"SULF2"</f>
        <v>SULF2</v>
      </c>
      <c r="G1720" s="10" t="str">
        <f t="shared" si="67"/>
        <v>protein_coding</v>
      </c>
      <c r="J1720" s="14"/>
    </row>
    <row r="1721" spans="1:10" x14ac:dyDescent="0.2">
      <c r="A1721" s="10" t="str">
        <f>"ENSG00000286063.1"</f>
        <v>ENSG00000286063.1</v>
      </c>
      <c r="B1721" s="10">
        <v>-2.30123956887009</v>
      </c>
      <c r="C1721" s="10">
        <v>-1.76124079131323</v>
      </c>
      <c r="D1721" s="10">
        <v>7.2539122520016104</v>
      </c>
      <c r="E1721" s="10">
        <v>2.7054732733319601E-2</v>
      </c>
      <c r="F1721" s="10" t="str">
        <f>"AL121888.1"</f>
        <v>AL121888.1</v>
      </c>
      <c r="G1721" s="10" t="str">
        <f>"lincRNA"</f>
        <v>lincRNA</v>
      </c>
      <c r="J1721" s="14"/>
    </row>
    <row r="1722" spans="1:10" x14ac:dyDescent="0.2">
      <c r="A1722" s="10" t="str">
        <f>"ENSG00000124126.14"</f>
        <v>ENSG00000124126.14</v>
      </c>
      <c r="B1722" s="10">
        <v>-1.15187806500967</v>
      </c>
      <c r="C1722" s="10">
        <v>0.37450150938028098</v>
      </c>
      <c r="D1722" s="10">
        <v>6.1449664146817096</v>
      </c>
      <c r="E1722" s="10">
        <v>3.7829228207660701E-2</v>
      </c>
      <c r="F1722" s="10" t="str">
        <f>"PREX1"</f>
        <v>PREX1</v>
      </c>
      <c r="G1722" s="10" t="str">
        <f>"protein_coding"</f>
        <v>protein_coding</v>
      </c>
      <c r="J1722" s="14"/>
    </row>
    <row r="1723" spans="1:10" x14ac:dyDescent="0.2">
      <c r="A1723" s="10" t="str">
        <f>"ENSG00000230758.1"</f>
        <v>ENSG00000230758.1</v>
      </c>
      <c r="B1723" s="10">
        <v>-1.2729493797307601</v>
      </c>
      <c r="C1723" s="10">
        <v>-0.19234810609550801</v>
      </c>
      <c r="D1723" s="10">
        <v>8.8914165537437793</v>
      </c>
      <c r="E1723" s="10">
        <v>1.71214344448492E-2</v>
      </c>
      <c r="F1723" s="10" t="str">
        <f>"SNAP23P1"</f>
        <v>SNAP23P1</v>
      </c>
      <c r="G1723" s="10" t="str">
        <f>"processed_pseudogene"</f>
        <v>processed_pseudogene</v>
      </c>
      <c r="J1723" s="14"/>
    </row>
    <row r="1724" spans="1:10" x14ac:dyDescent="0.2">
      <c r="A1724" s="10" t="str">
        <f>"ENSG00000227431.5"</f>
        <v>ENSG00000227431.5</v>
      </c>
      <c r="B1724" s="10">
        <v>-1.1135474430583701</v>
      </c>
      <c r="C1724" s="10">
        <v>0.16949512390420701</v>
      </c>
      <c r="D1724" s="10">
        <v>8.4486860955260692</v>
      </c>
      <c r="E1724" s="10">
        <v>1.9109900099416599E-2</v>
      </c>
      <c r="F1724" s="10" t="str">
        <f>"CSE1L-AS1"</f>
        <v>CSE1L-AS1</v>
      </c>
      <c r="G1724" s="10" t="str">
        <f>"antisense"</f>
        <v>antisense</v>
      </c>
      <c r="J1724" s="14"/>
    </row>
    <row r="1725" spans="1:10" x14ac:dyDescent="0.2">
      <c r="A1725" s="10" t="str">
        <f>"ENSG00000158445.10"</f>
        <v>ENSG00000158445.10</v>
      </c>
      <c r="B1725" s="10">
        <v>-1.02826648448418</v>
      </c>
      <c r="C1725" s="10">
        <v>-0.24927406778268199</v>
      </c>
      <c r="D1725" s="10">
        <v>6.8418939813963604</v>
      </c>
      <c r="E1725" s="10">
        <v>3.0111077760735801E-2</v>
      </c>
      <c r="F1725" s="10" t="str">
        <f>"KCNB1"</f>
        <v>KCNB1</v>
      </c>
      <c r="G1725" s="10" t="str">
        <f>"protein_coding"</f>
        <v>protein_coding</v>
      </c>
      <c r="J1725" s="14"/>
    </row>
    <row r="1726" spans="1:10" x14ac:dyDescent="0.2">
      <c r="A1726" s="10" t="str">
        <f>"ENSG00000124212.6"</f>
        <v>ENSG00000124212.6</v>
      </c>
      <c r="B1726" s="10">
        <v>-1.5131534443554999</v>
      </c>
      <c r="C1726" s="10">
        <v>-1.27420130153747</v>
      </c>
      <c r="D1726" s="10">
        <v>5.8290414642487098</v>
      </c>
      <c r="E1726" s="10">
        <v>4.1701166595174602E-2</v>
      </c>
      <c r="F1726" s="10" t="str">
        <f>"PTGIS"</f>
        <v>PTGIS</v>
      </c>
      <c r="G1726" s="10" t="str">
        <f>"protein_coding"</f>
        <v>protein_coding</v>
      </c>
      <c r="J1726" s="14"/>
    </row>
    <row r="1727" spans="1:10" x14ac:dyDescent="0.2">
      <c r="A1727" s="10" t="str">
        <f>"ENSG00000124216.4"</f>
        <v>ENSG00000124216.4</v>
      </c>
      <c r="B1727" s="10">
        <v>-1.5787577570032101</v>
      </c>
      <c r="C1727" s="10">
        <v>2.7293239772950999</v>
      </c>
      <c r="D1727" s="10">
        <v>23.917666345831499</v>
      </c>
      <c r="E1727" s="10">
        <v>1.1658044691489099E-3</v>
      </c>
      <c r="F1727" s="10" t="str">
        <f>"SNAI1"</f>
        <v>SNAI1</v>
      </c>
      <c r="G1727" s="10" t="str">
        <f>"protein_coding"</f>
        <v>protein_coding</v>
      </c>
      <c r="J1727" s="14"/>
    </row>
    <row r="1728" spans="1:10" x14ac:dyDescent="0.2">
      <c r="A1728" s="10" t="str">
        <f>"ENSG00000054793.13"</f>
        <v>ENSG00000054793.13</v>
      </c>
      <c r="B1728" s="10">
        <v>1.1874903801903001</v>
      </c>
      <c r="C1728" s="10">
        <v>6.3478919277241204</v>
      </c>
      <c r="D1728" s="10">
        <v>23.372085063292399</v>
      </c>
      <c r="E1728" s="10">
        <v>1.2526557399826E-3</v>
      </c>
      <c r="F1728" s="10" t="str">
        <f>"ATP9A"</f>
        <v>ATP9A</v>
      </c>
      <c r="G1728" s="10" t="str">
        <f>"protein_coding"</f>
        <v>protein_coding</v>
      </c>
      <c r="J1728" s="14"/>
    </row>
    <row r="1729" spans="1:10" x14ac:dyDescent="0.2">
      <c r="A1729" s="10" t="str">
        <f>"ENSG00000231703.2"</f>
        <v>ENSG00000231703.2</v>
      </c>
      <c r="B1729" s="10">
        <v>-2.3355521650265301</v>
      </c>
      <c r="C1729" s="10">
        <v>-1.71502162419588</v>
      </c>
      <c r="D1729" s="10">
        <v>5.6928697080040198</v>
      </c>
      <c r="E1729" s="10">
        <v>4.3764941316489003E-2</v>
      </c>
      <c r="F1729" s="10" t="str">
        <f>"AL354993.1"</f>
        <v>AL354993.1</v>
      </c>
      <c r="G1729" s="10" t="str">
        <f>"antisense"</f>
        <v>antisense</v>
      </c>
      <c r="J1729" s="14"/>
    </row>
    <row r="1730" spans="1:10" x14ac:dyDescent="0.2">
      <c r="A1730" s="10" t="str">
        <f>"ENSG00000087589.16"</f>
        <v>ENSG00000087589.16</v>
      </c>
      <c r="B1730" s="10">
        <v>1.72082097453058</v>
      </c>
      <c r="C1730" s="10">
        <v>-0.10799296394484501</v>
      </c>
      <c r="D1730" s="10">
        <v>9.1035529250881808</v>
      </c>
      <c r="E1730" s="10">
        <v>1.6394650035034399E-2</v>
      </c>
      <c r="F1730" s="10" t="str">
        <f>"CASS4"</f>
        <v>CASS4</v>
      </c>
      <c r="G1730" s="10" t="str">
        <f>"protein_coding"</f>
        <v>protein_coding</v>
      </c>
      <c r="J1730" s="14"/>
    </row>
    <row r="1731" spans="1:10" x14ac:dyDescent="0.2">
      <c r="A1731" s="10" t="str">
        <f>"ENSG00000101144.13"</f>
        <v>ENSG00000101144.13</v>
      </c>
      <c r="B1731" s="10">
        <v>-2.1928650189476402</v>
      </c>
      <c r="C1731" s="10">
        <v>2.18586436823932</v>
      </c>
      <c r="D1731" s="10">
        <v>9.2493917457184693</v>
      </c>
      <c r="E1731" s="10">
        <v>1.58012723555261E-2</v>
      </c>
      <c r="F1731" s="10" t="str">
        <f>"BMP7"</f>
        <v>BMP7</v>
      </c>
      <c r="G1731" s="10" t="str">
        <f>"protein_coding"</f>
        <v>protein_coding</v>
      </c>
      <c r="J1731" s="14"/>
    </row>
    <row r="1732" spans="1:10" x14ac:dyDescent="0.2">
      <c r="A1732" s="10" t="str">
        <f>"ENSG00000283078.1"</f>
        <v>ENSG00000283078.1</v>
      </c>
      <c r="B1732" s="10">
        <v>-1.0578598306649001</v>
      </c>
      <c r="C1732" s="10">
        <v>1.35073422446997</v>
      </c>
      <c r="D1732" s="10">
        <v>7.7472515384400502</v>
      </c>
      <c r="E1732" s="10">
        <v>2.3517552631491599E-2</v>
      </c>
      <c r="F1732" s="10" t="str">
        <f>"AL137077.2"</f>
        <v>AL137077.2</v>
      </c>
      <c r="G1732" s="10" t="str">
        <f>"lincRNA"</f>
        <v>lincRNA</v>
      </c>
      <c r="J1732" s="14"/>
    </row>
    <row r="1733" spans="1:10" x14ac:dyDescent="0.2">
      <c r="A1733" s="10" t="str">
        <f>"ENSG00000101180.16"</f>
        <v>ENSG00000101180.16</v>
      </c>
      <c r="B1733" s="10">
        <v>-2.53631315539804</v>
      </c>
      <c r="C1733" s="10">
        <v>-1.93945354361584</v>
      </c>
      <c r="D1733" s="10">
        <v>8.8039380565032292</v>
      </c>
      <c r="E1733" s="10">
        <v>1.7376455660118899E-2</v>
      </c>
      <c r="F1733" s="10" t="str">
        <f>"HRH3"</f>
        <v>HRH3</v>
      </c>
      <c r="G1733" s="10" t="str">
        <f>"protein_coding"</f>
        <v>protein_coding</v>
      </c>
      <c r="J1733" s="14"/>
    </row>
    <row r="1734" spans="1:10" x14ac:dyDescent="0.2">
      <c r="A1734" s="10" t="str">
        <f>"ENSG00000130701.4"</f>
        <v>ENSG00000130701.4</v>
      </c>
      <c r="B1734" s="10">
        <v>2.6598922528850801</v>
      </c>
      <c r="C1734" s="10">
        <v>-0.21076877851522099</v>
      </c>
      <c r="D1734" s="10">
        <v>22.326713886612499</v>
      </c>
      <c r="E1734" s="10">
        <v>1.4428796715454601E-3</v>
      </c>
      <c r="F1734" s="10" t="str">
        <f>"RBBP8NL"</f>
        <v>RBBP8NL</v>
      </c>
      <c r="G1734" s="10" t="str">
        <f>"protein_coding"</f>
        <v>protein_coding</v>
      </c>
      <c r="J1734" s="14"/>
    </row>
    <row r="1735" spans="1:10" x14ac:dyDescent="0.2">
      <c r="A1735" s="10" t="str">
        <f>"ENSG00000233017.2"</f>
        <v>ENSG00000233017.2</v>
      </c>
      <c r="B1735" s="10">
        <v>-3.1719776572626102</v>
      </c>
      <c r="C1735" s="10">
        <v>-2.0939837142953999</v>
      </c>
      <c r="D1735" s="10">
        <v>8.43970458201367</v>
      </c>
      <c r="E1735" s="10">
        <v>1.9478993108753E-2</v>
      </c>
      <c r="F1735" s="10" t="str">
        <f>"AL121832.1"</f>
        <v>AL121832.1</v>
      </c>
      <c r="G1735" s="10" t="str">
        <f>"antisense"</f>
        <v>antisense</v>
      </c>
      <c r="J1735" s="14"/>
    </row>
    <row r="1736" spans="1:10" x14ac:dyDescent="0.2">
      <c r="A1736" s="10" t="str">
        <f>"ENSG00000101187.16"</f>
        <v>ENSG00000101187.16</v>
      </c>
      <c r="B1736" s="10">
        <v>2.050234080369</v>
      </c>
      <c r="C1736" s="10">
        <v>3.2381015367294101</v>
      </c>
      <c r="D1736" s="10">
        <v>21.259730410907501</v>
      </c>
      <c r="E1736" s="10">
        <v>1.6757524013966199E-3</v>
      </c>
      <c r="F1736" s="10" t="str">
        <f>"SLCO4A1"</f>
        <v>SLCO4A1</v>
      </c>
      <c r="G1736" s="10" t="str">
        <f>"protein_coding"</f>
        <v>protein_coding</v>
      </c>
      <c r="J1736" s="14"/>
    </row>
    <row r="1737" spans="1:10" x14ac:dyDescent="0.2">
      <c r="A1737" s="10" t="str">
        <f>"ENSG00000203900.2"</f>
        <v>ENSG00000203900.2</v>
      </c>
      <c r="B1737" s="10">
        <v>-2.87321282976822</v>
      </c>
      <c r="C1737" s="10">
        <v>-1.1435462303962101</v>
      </c>
      <c r="D1737" s="10">
        <v>14.0553520278993</v>
      </c>
      <c r="E1737" s="10">
        <v>5.5080741493211197E-3</v>
      </c>
      <c r="F1737" s="10" t="str">
        <f>"AL121827.1"</f>
        <v>AL121827.1</v>
      </c>
      <c r="G1737" s="10" t="str">
        <f>"antisense"</f>
        <v>antisense</v>
      </c>
      <c r="J1737" s="14"/>
    </row>
    <row r="1738" spans="1:10" x14ac:dyDescent="0.2">
      <c r="A1738" s="10" t="str">
        <f>"ENSG00000197457.10"</f>
        <v>ENSG00000197457.10</v>
      </c>
      <c r="B1738" s="10">
        <v>-2.1748542738007202</v>
      </c>
      <c r="C1738" s="10">
        <v>5.1830648365487804</v>
      </c>
      <c r="D1738" s="10">
        <v>59.232127018868397</v>
      </c>
      <c r="E1738" s="13">
        <v>5.39137040806071E-5</v>
      </c>
      <c r="F1738" s="10" t="str">
        <f>"STMN3"</f>
        <v>STMN3</v>
      </c>
      <c r="G1738" s="10" t="str">
        <f>"protein_coding"</f>
        <v>protein_coding</v>
      </c>
      <c r="J1738" s="14"/>
    </row>
    <row r="1739" spans="1:10" x14ac:dyDescent="0.2">
      <c r="A1739" s="10" t="str">
        <f>"ENSG00000203896.10"</f>
        <v>ENSG00000203896.10</v>
      </c>
      <c r="B1739" s="10">
        <v>-1.1401986716142001</v>
      </c>
      <c r="C1739" s="10">
        <v>1.3588694864001001</v>
      </c>
      <c r="D1739" s="10">
        <v>14.837471301847801</v>
      </c>
      <c r="E1739" s="10">
        <v>4.6021860895466404E-3</v>
      </c>
      <c r="F1739" s="10" t="str">
        <f>"LIME1"</f>
        <v>LIME1</v>
      </c>
      <c r="G1739" s="10" t="str">
        <f>"protein_coding"</f>
        <v>protein_coding</v>
      </c>
      <c r="J1739" s="14"/>
    </row>
    <row r="1740" spans="1:10" x14ac:dyDescent="0.2">
      <c r="A1740" s="10" t="str">
        <f>"ENSG00000203883.7"</f>
        <v>ENSG00000203883.7</v>
      </c>
      <c r="B1740" s="10">
        <v>-1.7382353529627099</v>
      </c>
      <c r="C1740" s="10">
        <v>3.5866368542185998</v>
      </c>
      <c r="D1740" s="10">
        <v>13.427452015692801</v>
      </c>
      <c r="E1740" s="10">
        <v>6.2272765983371701E-3</v>
      </c>
      <c r="F1740" s="10" t="str">
        <f>"SOX18"</f>
        <v>SOX18</v>
      </c>
      <c r="G1740" s="10" t="str">
        <f>"protein_coding"</f>
        <v>protein_coding</v>
      </c>
      <c r="J1740" s="14"/>
    </row>
    <row r="1741" spans="1:10" x14ac:dyDescent="0.2">
      <c r="A1741" s="10" t="str">
        <f>"ENSG00000274276.4"</f>
        <v>ENSG00000274276.4</v>
      </c>
      <c r="B1741" s="10">
        <v>-2.7549260239312101</v>
      </c>
      <c r="C1741" s="10">
        <v>0.93560873586000604</v>
      </c>
      <c r="D1741" s="10">
        <v>13.8882433417862</v>
      </c>
      <c r="E1741" s="10">
        <v>5.6888482460583003E-3</v>
      </c>
      <c r="F1741" s="10" t="str">
        <f>"CBSL"</f>
        <v>CBSL</v>
      </c>
      <c r="G1741" s="10" t="str">
        <f>"protein_coding"</f>
        <v>protein_coding</v>
      </c>
      <c r="J1741" s="14"/>
    </row>
    <row r="1742" spans="1:10" x14ac:dyDescent="0.2">
      <c r="A1742" s="10" t="str">
        <f>"ENSG00000277067.4"</f>
        <v>ENSG00000277067.4</v>
      </c>
      <c r="B1742" s="10">
        <v>1.21007719632128</v>
      </c>
      <c r="C1742" s="10">
        <v>0.14517159006187599</v>
      </c>
      <c r="D1742" s="10">
        <v>11.6682835068921</v>
      </c>
      <c r="E1742" s="10">
        <v>8.7524835435234902E-3</v>
      </c>
      <c r="F1742" s="10" t="str">
        <f>"CU634019.1"</f>
        <v>CU634019.1</v>
      </c>
      <c r="G1742" s="10" t="str">
        <f>"lincRNA"</f>
        <v>lincRNA</v>
      </c>
      <c r="J1742" s="14"/>
    </row>
    <row r="1743" spans="1:10" x14ac:dyDescent="0.2">
      <c r="A1743" s="10" t="str">
        <f>"ENSG00000278233.1"</f>
        <v>ENSG00000278233.1</v>
      </c>
      <c r="B1743" s="10">
        <v>3.7406039806838201</v>
      </c>
      <c r="C1743" s="10">
        <v>-1.88445750474615</v>
      </c>
      <c r="D1743" s="10">
        <v>5.5015756461202097</v>
      </c>
      <c r="E1743" s="10">
        <v>4.6631340332802702E-2</v>
      </c>
      <c r="F1743" s="10" t="str">
        <f>"RNA5-8SN2"</f>
        <v>RNA5-8SN2</v>
      </c>
      <c r="G1743" s="10" t="str">
        <f>"rRNA"</f>
        <v>rRNA</v>
      </c>
      <c r="J1743" s="14"/>
    </row>
    <row r="1744" spans="1:10" x14ac:dyDescent="0.2">
      <c r="A1744" s="10" t="str">
        <f>"ENSG00000230965.1"</f>
        <v>ENSG00000230965.1</v>
      </c>
      <c r="B1744" s="10">
        <v>-2.60155773818735</v>
      </c>
      <c r="C1744" s="10">
        <v>0.39531628252154999</v>
      </c>
      <c r="D1744" s="10">
        <v>9.3816309963895197</v>
      </c>
      <c r="E1744" s="10">
        <v>1.5286393349987999E-2</v>
      </c>
      <c r="F1744" s="10" t="str">
        <f>"SNX18P13"</f>
        <v>SNX18P13</v>
      </c>
      <c r="G1744" s="10" t="str">
        <f>"processed_pseudogene"</f>
        <v>processed_pseudogene</v>
      </c>
      <c r="J1744" s="14"/>
    </row>
    <row r="1745" spans="1:10" x14ac:dyDescent="0.2">
      <c r="A1745" s="10" t="str">
        <f>"ENSG00000215559.8"</f>
        <v>ENSG00000215559.8</v>
      </c>
      <c r="B1745" s="10">
        <v>-2.13037840050601</v>
      </c>
      <c r="C1745" s="10">
        <v>3.3437919449801998</v>
      </c>
      <c r="D1745" s="10">
        <v>5.5104255041246599</v>
      </c>
      <c r="E1745" s="10">
        <v>4.6493556087158702E-2</v>
      </c>
      <c r="F1745" s="10" t="str">
        <f>"ANKRD20A11P"</f>
        <v>ANKRD20A11P</v>
      </c>
      <c r="G1745" s="10" t="str">
        <f>"transcribed_unprocessed_pseudogene"</f>
        <v>transcribed_unprocessed_pseudogene</v>
      </c>
      <c r="J1745" s="14"/>
    </row>
    <row r="1746" spans="1:10" x14ac:dyDescent="0.2">
      <c r="A1746" s="10" t="str">
        <f>"ENSG00000203616.2"</f>
        <v>ENSG00000203616.2</v>
      </c>
      <c r="B1746" s="10">
        <v>-2.0303919719703298</v>
      </c>
      <c r="C1746" s="10">
        <v>0.74156848228392203</v>
      </c>
      <c r="D1746" s="10">
        <v>6.7529711080904899</v>
      </c>
      <c r="E1746" s="10">
        <v>3.1362612991569103E-2</v>
      </c>
      <c r="F1746" s="10" t="str">
        <f>"RHOT1P2"</f>
        <v>RHOT1P2</v>
      </c>
      <c r="G1746" s="10" t="str">
        <f>"processed_pseudogene"</f>
        <v>processed_pseudogene</v>
      </c>
      <c r="J1746" s="14"/>
    </row>
    <row r="1747" spans="1:10" x14ac:dyDescent="0.2">
      <c r="A1747" s="10" t="str">
        <f>"ENSG00000279390.1"</f>
        <v>ENSG00000279390.1</v>
      </c>
      <c r="B1747" s="10">
        <v>-1.16193815303545</v>
      </c>
      <c r="C1747" s="10">
        <v>0.17204719163266599</v>
      </c>
      <c r="D1747" s="10">
        <v>6.2267347550378496</v>
      </c>
      <c r="E1747" s="10">
        <v>3.6867076356176399E-2</v>
      </c>
      <c r="F1747" s="10" t="str">
        <f>"AF127577.6"</f>
        <v>AF127577.6</v>
      </c>
      <c r="G1747" s="10" t="str">
        <f>"TEC"</f>
        <v>TEC</v>
      </c>
      <c r="J1747" s="14"/>
    </row>
    <row r="1748" spans="1:10" x14ac:dyDescent="0.2">
      <c r="A1748" s="10" t="str">
        <f>"ENSG00000232560.6"</f>
        <v>ENSG00000232560.6</v>
      </c>
      <c r="B1748" s="10">
        <v>3.3821211254015799</v>
      </c>
      <c r="C1748" s="10">
        <v>-1.25601650992556</v>
      </c>
      <c r="D1748" s="10">
        <v>9.8939953090186492</v>
      </c>
      <c r="E1748" s="10">
        <v>1.34800023533291E-2</v>
      </c>
      <c r="F1748" s="10" t="str">
        <f>"LINC01549"</f>
        <v>LINC01549</v>
      </c>
      <c r="G1748" s="10" t="str">
        <f>"lincRNA"</f>
        <v>lincRNA</v>
      </c>
      <c r="J1748" s="14"/>
    </row>
    <row r="1749" spans="1:10" x14ac:dyDescent="0.2">
      <c r="A1749" s="10" t="str">
        <f>"ENSG00000229962.1"</f>
        <v>ENSG00000229962.1</v>
      </c>
      <c r="B1749" s="10">
        <v>-3.3475642184181198</v>
      </c>
      <c r="C1749" s="10">
        <v>-1.9962242172137401</v>
      </c>
      <c r="D1749" s="10">
        <v>11.125295605447301</v>
      </c>
      <c r="E1749" s="10">
        <v>1.0038132917619199E-2</v>
      </c>
      <c r="F1749" s="10" t="str">
        <f>"AP000221.1"</f>
        <v>AP000221.1</v>
      </c>
      <c r="G1749" s="10" t="str">
        <f>"lincRNA"</f>
        <v>lincRNA</v>
      </c>
      <c r="J1749" s="14"/>
    </row>
    <row r="1750" spans="1:10" x14ac:dyDescent="0.2">
      <c r="A1750" s="10" t="str">
        <f>"ENSG00000286018.1"</f>
        <v>ENSG00000286018.1</v>
      </c>
      <c r="B1750" s="10">
        <v>1.1670664282366401</v>
      </c>
      <c r="C1750" s="10">
        <v>-0.17080145628903601</v>
      </c>
      <c r="D1750" s="10">
        <v>9.5298031087893893</v>
      </c>
      <c r="E1750" s="10">
        <v>1.4437164018201601E-2</v>
      </c>
      <c r="F1750" s="10" t="str">
        <f>"AF129075.3"</f>
        <v>AF129075.3</v>
      </c>
      <c r="G1750" s="10" t="str">
        <f>"antisense"</f>
        <v>antisense</v>
      </c>
      <c r="J1750" s="14"/>
    </row>
    <row r="1751" spans="1:10" x14ac:dyDescent="0.2">
      <c r="A1751" s="10" t="str">
        <f>"ENSG00000166979.13"</f>
        <v>ENSG00000166979.13</v>
      </c>
      <c r="B1751" s="10">
        <v>3.5377024294273101</v>
      </c>
      <c r="C1751" s="10">
        <v>-0.17809608703573601</v>
      </c>
      <c r="D1751" s="10">
        <v>13.1561842626054</v>
      </c>
      <c r="E1751" s="10">
        <v>6.57422582307279E-3</v>
      </c>
      <c r="F1751" s="10" t="str">
        <f>"EVA1C"</f>
        <v>EVA1C</v>
      </c>
      <c r="G1751" s="10" t="str">
        <f>"protein_coding"</f>
        <v>protein_coding</v>
      </c>
      <c r="J1751" s="14"/>
    </row>
    <row r="1752" spans="1:10" x14ac:dyDescent="0.2">
      <c r="A1752" s="10" t="str">
        <f>"ENSG00000273102.1"</f>
        <v>ENSG00000273102.1</v>
      </c>
      <c r="B1752" s="10">
        <v>1.2918115554982901</v>
      </c>
      <c r="C1752" s="10">
        <v>-0.64213651774443004</v>
      </c>
      <c r="D1752" s="10">
        <v>9.1608838781061106</v>
      </c>
      <c r="E1752" s="10">
        <v>1.58457580843962E-2</v>
      </c>
      <c r="F1752" s="10" t="str">
        <f>"AP000569.1"</f>
        <v>AP000569.1</v>
      </c>
      <c r="G1752" s="10" t="str">
        <f>"lincRNA"</f>
        <v>lincRNA</v>
      </c>
      <c r="J1752" s="14"/>
    </row>
    <row r="1753" spans="1:10" x14ac:dyDescent="0.2">
      <c r="A1753" s="10" t="str">
        <f>"ENSG00000286153.1"</f>
        <v>ENSG00000286153.1</v>
      </c>
      <c r="B1753" s="10">
        <v>1.5281123968958099</v>
      </c>
      <c r="C1753" s="10">
        <v>1.6054143245585599</v>
      </c>
      <c r="D1753" s="10">
        <v>7.5187238275441404</v>
      </c>
      <c r="E1753" s="10">
        <v>2.5078571329857399E-2</v>
      </c>
      <c r="F1753" s="10" t="str">
        <f>"AP000331.1"</f>
        <v>AP000331.1</v>
      </c>
      <c r="G1753" s="10" t="str">
        <f>"antisense"</f>
        <v>antisense</v>
      </c>
      <c r="J1753" s="14"/>
    </row>
    <row r="1754" spans="1:10" x14ac:dyDescent="0.2">
      <c r="A1754" s="10" t="str">
        <f>"ENSG00000236830.6"</f>
        <v>ENSG00000236830.6</v>
      </c>
      <c r="B1754" s="10">
        <v>-1.4144541932708601</v>
      </c>
      <c r="C1754" s="10">
        <v>-0.41617844959628097</v>
      </c>
      <c r="D1754" s="10">
        <v>5.6711407648018497</v>
      </c>
      <c r="E1754" s="10">
        <v>4.4079045402592602E-2</v>
      </c>
      <c r="F1754" s="10" t="str">
        <f>"CBR3-AS1"</f>
        <v>CBR3-AS1</v>
      </c>
      <c r="G1754" s="10" t="str">
        <f>"processed_transcript"</f>
        <v>processed_transcript</v>
      </c>
      <c r="J1754" s="14"/>
    </row>
    <row r="1755" spans="1:10" x14ac:dyDescent="0.2">
      <c r="A1755" s="10" t="str">
        <f>"ENSG00000182093.15"</f>
        <v>ENSG00000182093.15</v>
      </c>
      <c r="B1755" s="10">
        <v>1.0200061341896101</v>
      </c>
      <c r="C1755" s="10">
        <v>3.4278557367124001</v>
      </c>
      <c r="D1755" s="10">
        <v>11.646077018578801</v>
      </c>
      <c r="E1755" s="10">
        <v>9.01929869416398E-3</v>
      </c>
      <c r="F1755" s="10" t="str">
        <f>"WRB"</f>
        <v>WRB</v>
      </c>
      <c r="G1755" s="10" t="str">
        <f>"protein_coding"</f>
        <v>protein_coding</v>
      </c>
      <c r="J1755" s="14"/>
    </row>
    <row r="1756" spans="1:10" x14ac:dyDescent="0.2">
      <c r="A1756" s="10" t="str">
        <f>"ENSG00000160180.15"</f>
        <v>ENSG00000160180.15</v>
      </c>
      <c r="B1756" s="10">
        <v>1.48156510209498</v>
      </c>
      <c r="C1756" s="10">
        <v>0.80259929890989001</v>
      </c>
      <c r="D1756" s="10">
        <v>5.4652902121061304</v>
      </c>
      <c r="E1756" s="10">
        <v>4.72017313018556E-2</v>
      </c>
      <c r="F1756" s="10" t="str">
        <f>"TFF3"</f>
        <v>TFF3</v>
      </c>
      <c r="G1756" s="10" t="str">
        <f>"protein_coding"</f>
        <v>protein_coding</v>
      </c>
      <c r="J1756" s="14"/>
    </row>
    <row r="1757" spans="1:10" x14ac:dyDescent="0.2">
      <c r="A1757" s="10" t="str">
        <f>"ENSG00000160182.3"</f>
        <v>ENSG00000160182.3</v>
      </c>
      <c r="B1757" s="10">
        <v>5.1938401898016204</v>
      </c>
      <c r="C1757" s="10">
        <v>1.0881284245854499</v>
      </c>
      <c r="D1757" s="10">
        <v>9.4523438117395404</v>
      </c>
      <c r="E1757" s="10">
        <v>1.50197179445148E-2</v>
      </c>
      <c r="F1757" s="10" t="str">
        <f>"TFF1"</f>
        <v>TFF1</v>
      </c>
      <c r="G1757" s="10" t="str">
        <f>"protein_coding"</f>
        <v>protein_coding</v>
      </c>
      <c r="J1757" s="14"/>
    </row>
    <row r="1758" spans="1:10" x14ac:dyDescent="0.2">
      <c r="A1758" s="10" t="str">
        <f>"ENSG00000160183.15"</f>
        <v>ENSG00000160183.15</v>
      </c>
      <c r="B1758" s="10">
        <v>2.67590674096156</v>
      </c>
      <c r="C1758" s="10">
        <v>0.62640249641132595</v>
      </c>
      <c r="D1758" s="10">
        <v>19.862994594632099</v>
      </c>
      <c r="E1758" s="10">
        <v>2.0563998200262301E-3</v>
      </c>
      <c r="F1758" s="10" t="str">
        <f>"TMPRSS3"</f>
        <v>TMPRSS3</v>
      </c>
      <c r="G1758" s="10" t="str">
        <f>"protein_coding"</f>
        <v>protein_coding</v>
      </c>
      <c r="J1758" s="14"/>
    </row>
    <row r="1759" spans="1:10" x14ac:dyDescent="0.2">
      <c r="A1759" s="10" t="str">
        <f>"ENSG00000160233.8"</f>
        <v>ENSG00000160233.8</v>
      </c>
      <c r="B1759" s="10">
        <v>1.03953097910313</v>
      </c>
      <c r="C1759" s="10">
        <v>2.45978281647995</v>
      </c>
      <c r="D1759" s="10">
        <v>13.627805248839801</v>
      </c>
      <c r="E1759" s="10">
        <v>5.9407245586577404E-3</v>
      </c>
      <c r="F1759" s="10" t="str">
        <f>"LRRC3"</f>
        <v>LRRC3</v>
      </c>
      <c r="G1759" s="10" t="str">
        <f>"protein_coding"</f>
        <v>protein_coding</v>
      </c>
      <c r="J1759" s="14"/>
    </row>
    <row r="1760" spans="1:10" x14ac:dyDescent="0.2">
      <c r="A1760" s="10" t="str">
        <f>"ENSG00000235890.2"</f>
        <v>ENSG00000235890.2</v>
      </c>
      <c r="B1760" s="10">
        <v>1.1699328164688101</v>
      </c>
      <c r="C1760" s="10">
        <v>2.2500151313722498</v>
      </c>
      <c r="D1760" s="10">
        <v>23.470790739319799</v>
      </c>
      <c r="E1760" s="10">
        <v>1.17844579209748E-3</v>
      </c>
      <c r="F1760" s="10" t="str">
        <f>"TSPEAR-AS1"</f>
        <v>TSPEAR-AS1</v>
      </c>
      <c r="G1760" s="10" t="str">
        <f>"antisense"</f>
        <v>antisense</v>
      </c>
      <c r="J1760" s="14"/>
    </row>
    <row r="1761" spans="1:10" x14ac:dyDescent="0.2">
      <c r="A1761" s="10" t="str">
        <f>"ENSG00000142156.14"</f>
        <v>ENSG00000142156.14</v>
      </c>
      <c r="B1761" s="10">
        <v>-1.65654290324867</v>
      </c>
      <c r="C1761" s="10">
        <v>5.78945007062394</v>
      </c>
      <c r="D1761" s="10">
        <v>13.7128347534686</v>
      </c>
      <c r="E1761" s="10">
        <v>5.88666449217969E-3</v>
      </c>
      <c r="F1761" s="10" t="str">
        <f>"COL6A1"</f>
        <v>COL6A1</v>
      </c>
      <c r="G1761" s="10" t="str">
        <f>"protein_coding"</f>
        <v>protein_coding</v>
      </c>
      <c r="J1761" s="14"/>
    </row>
    <row r="1762" spans="1:10" x14ac:dyDescent="0.2">
      <c r="A1762" s="10" t="str">
        <f>"ENSG00000183628.13"</f>
        <v>ENSG00000183628.13</v>
      </c>
      <c r="B1762" s="10">
        <v>-1.99140645212453</v>
      </c>
      <c r="C1762" s="10">
        <v>0.20803694836651801</v>
      </c>
      <c r="D1762" s="10">
        <v>12.4379709835417</v>
      </c>
      <c r="E1762" s="10">
        <v>7.6171065500483404E-3</v>
      </c>
      <c r="F1762" s="10" t="str">
        <f>"DGCR6"</f>
        <v>DGCR6</v>
      </c>
      <c r="G1762" s="10" t="str">
        <f>"protein_coding"</f>
        <v>protein_coding</v>
      </c>
      <c r="J1762" s="14"/>
    </row>
    <row r="1763" spans="1:10" x14ac:dyDescent="0.2">
      <c r="A1763" s="10" t="str">
        <f>"ENSG00000040608.14"</f>
        <v>ENSG00000040608.14</v>
      </c>
      <c r="B1763" s="10">
        <v>-2.2748568822595501</v>
      </c>
      <c r="C1763" s="10">
        <v>-0.95684821626620598</v>
      </c>
      <c r="D1763" s="10">
        <v>12.3321502011006</v>
      </c>
      <c r="E1763" s="10">
        <v>7.7878256187520999E-3</v>
      </c>
      <c r="F1763" s="10" t="str">
        <f>"RTN4R"</f>
        <v>RTN4R</v>
      </c>
      <c r="G1763" s="10" t="str">
        <f>"protein_coding"</f>
        <v>protein_coding</v>
      </c>
      <c r="J1763" s="14"/>
    </row>
    <row r="1764" spans="1:10" x14ac:dyDescent="0.2">
      <c r="A1764" s="10" t="str">
        <f>"ENSG00000099937.11"</f>
        <v>ENSG00000099937.11</v>
      </c>
      <c r="B1764" s="10">
        <v>1.4091247055810801</v>
      </c>
      <c r="C1764" s="10">
        <v>8.1980324626942895</v>
      </c>
      <c r="D1764" s="10">
        <v>6.0977863672749297</v>
      </c>
      <c r="E1764" s="10">
        <v>3.83988865382556E-2</v>
      </c>
      <c r="F1764" s="10" t="str">
        <f>"SERPIND1"</f>
        <v>SERPIND1</v>
      </c>
      <c r="G1764" s="10" t="str">
        <f>"protein_coding"</f>
        <v>protein_coding</v>
      </c>
      <c r="J1764" s="14"/>
    </row>
    <row r="1765" spans="1:10" x14ac:dyDescent="0.2">
      <c r="A1765" s="10" t="str">
        <f>"ENSG00000099957.16"</f>
        <v>ENSG00000099957.16</v>
      </c>
      <c r="B1765" s="10">
        <v>2.1720142514501699</v>
      </c>
      <c r="C1765" s="10">
        <v>-1.1771483943730201</v>
      </c>
      <c r="D1765" s="10">
        <v>7.6702785313720101</v>
      </c>
      <c r="E1765" s="10">
        <v>2.4029281602723201E-2</v>
      </c>
      <c r="F1765" s="10" t="str">
        <f>"P2RX6"</f>
        <v>P2RX6</v>
      </c>
      <c r="G1765" s="10" t="str">
        <f>"protein_coding"</f>
        <v>protein_coding</v>
      </c>
      <c r="J1765" s="14"/>
    </row>
    <row r="1766" spans="1:10" x14ac:dyDescent="0.2">
      <c r="A1766" s="10" t="str">
        <f>"ENSG00000234630.1"</f>
        <v>ENSG00000234630.1</v>
      </c>
      <c r="B1766" s="10">
        <v>-1.1589990227261799</v>
      </c>
      <c r="C1766" s="10">
        <v>1.8546234750648101</v>
      </c>
      <c r="D1766" s="10">
        <v>7.3569682420395397</v>
      </c>
      <c r="E1766" s="10">
        <v>2.62630967563918E-2</v>
      </c>
      <c r="F1766" s="10" t="str">
        <f>"AC245060.2"</f>
        <v>AC245060.2</v>
      </c>
      <c r="G1766" s="10" t="str">
        <f>"lincRNA"</f>
        <v>lincRNA</v>
      </c>
      <c r="J1766" s="14"/>
    </row>
    <row r="1767" spans="1:10" x14ac:dyDescent="0.2">
      <c r="A1767" s="10" t="str">
        <f>"ENSG00000286129.1"</f>
        <v>ENSG00000286129.1</v>
      </c>
      <c r="B1767" s="10">
        <v>-1.2290897598959101</v>
      </c>
      <c r="C1767" s="10">
        <v>1.70886171572377</v>
      </c>
      <c r="D1767" s="10">
        <v>5.5806197422653199</v>
      </c>
      <c r="E1767" s="10">
        <v>4.5418825806033E-2</v>
      </c>
      <c r="F1767" s="10" t="str">
        <f>"AC245060.7"</f>
        <v>AC245060.7</v>
      </c>
      <c r="G1767" s="10" t="str">
        <f>"processed_transcript"</f>
        <v>processed_transcript</v>
      </c>
      <c r="J1767" s="14"/>
    </row>
    <row r="1768" spans="1:10" x14ac:dyDescent="0.2">
      <c r="A1768" s="10" t="str">
        <f>"ENSG00000100228.12"</f>
        <v>ENSG00000100228.12</v>
      </c>
      <c r="B1768" s="10">
        <v>1.2767258680137701</v>
      </c>
      <c r="C1768" s="10">
        <v>0.28355546779626101</v>
      </c>
      <c r="D1768" s="10">
        <v>8.9372595303712501</v>
      </c>
      <c r="E1768" s="10">
        <v>1.7105870497011299E-2</v>
      </c>
      <c r="F1768" s="10" t="str">
        <f>"RAB36"</f>
        <v>RAB36</v>
      </c>
      <c r="G1768" s="10" t="str">
        <f>"protein_coding"</f>
        <v>protein_coding</v>
      </c>
      <c r="J1768" s="14"/>
    </row>
    <row r="1769" spans="1:10" x14ac:dyDescent="0.2">
      <c r="A1769" s="10" t="str">
        <f>"ENSG00000218537.1"</f>
        <v>ENSG00000218537.1</v>
      </c>
      <c r="B1769" s="10">
        <v>-1.2563169812419199</v>
      </c>
      <c r="C1769" s="10">
        <v>0.74432481956816199</v>
      </c>
      <c r="D1769" s="10">
        <v>7.8973877511985098</v>
      </c>
      <c r="E1769" s="10">
        <v>2.2558343632511298E-2</v>
      </c>
      <c r="F1769" s="10" t="str">
        <f>"MIF-AS1"</f>
        <v>MIF-AS1</v>
      </c>
      <c r="G1769" s="10" t="str">
        <f>"antisense"</f>
        <v>antisense</v>
      </c>
      <c r="J1769" s="14"/>
    </row>
    <row r="1770" spans="1:10" x14ac:dyDescent="0.2">
      <c r="A1770" s="10" t="str">
        <f>"ENSG00000234884.1"</f>
        <v>ENSG00000234884.1</v>
      </c>
      <c r="B1770" s="10">
        <v>-5.1750672396065101</v>
      </c>
      <c r="C1770" s="10">
        <v>-2.1021117099347899</v>
      </c>
      <c r="D1770" s="10">
        <v>16.7424330082283</v>
      </c>
      <c r="E1770" s="10">
        <v>5.9701543108455204E-3</v>
      </c>
      <c r="F1770" s="10" t="str">
        <f>"AL022329.1"</f>
        <v>AL022329.1</v>
      </c>
      <c r="G1770" s="10" t="str">
        <f>"antisense"</f>
        <v>antisense</v>
      </c>
      <c r="J1770" s="14"/>
    </row>
    <row r="1771" spans="1:10" x14ac:dyDescent="0.2">
      <c r="A1771" s="10" t="str">
        <f>"ENSG00000244625.6"</f>
        <v>ENSG00000244625.6</v>
      </c>
      <c r="B1771" s="10">
        <v>-2.2624697321407701</v>
      </c>
      <c r="C1771" s="10">
        <v>-0.96264915942886298</v>
      </c>
      <c r="D1771" s="10">
        <v>8.5203732428291907</v>
      </c>
      <c r="E1771" s="10">
        <v>1.90672994938605E-2</v>
      </c>
      <c r="F1771" s="10" t="str">
        <f>"MIATNB"</f>
        <v>MIATNB</v>
      </c>
      <c r="G1771" s="10" t="str">
        <f>"lincRNA"</f>
        <v>lincRNA</v>
      </c>
      <c r="J1771" s="14"/>
    </row>
    <row r="1772" spans="1:10" x14ac:dyDescent="0.2">
      <c r="A1772" s="10" t="str">
        <f>"ENSG00000169184.6"</f>
        <v>ENSG00000169184.6</v>
      </c>
      <c r="B1772" s="10">
        <v>-1.9982942181732799</v>
      </c>
      <c r="C1772" s="10">
        <v>-0.24924824609580401</v>
      </c>
      <c r="D1772" s="10">
        <v>12.7926721228209</v>
      </c>
      <c r="E1772" s="10">
        <v>7.0780251097916601E-3</v>
      </c>
      <c r="F1772" s="10" t="str">
        <f>"MN1"</f>
        <v>MN1</v>
      </c>
      <c r="G1772" s="10" t="str">
        <f>"protein_coding"</f>
        <v>protein_coding</v>
      </c>
      <c r="J1772" s="14"/>
    </row>
    <row r="1773" spans="1:10" x14ac:dyDescent="0.2">
      <c r="A1773" s="10" t="str">
        <f>"ENSG00000214491.8"</f>
        <v>ENSG00000214491.8</v>
      </c>
      <c r="B1773" s="10">
        <v>2.4430860946112598</v>
      </c>
      <c r="C1773" s="10">
        <v>0.73299702542032896</v>
      </c>
      <c r="D1773" s="10">
        <v>12.6440067335375</v>
      </c>
      <c r="E1773" s="10">
        <v>7.2979534484427797E-3</v>
      </c>
      <c r="F1773" s="10" t="str">
        <f>"SEC14L6"</f>
        <v>SEC14L6</v>
      </c>
      <c r="G1773" s="10" t="str">
        <f>"protein_coding"</f>
        <v>protein_coding</v>
      </c>
      <c r="J1773" s="14"/>
    </row>
    <row r="1774" spans="1:10" x14ac:dyDescent="0.2">
      <c r="A1774" s="10" t="str">
        <f>"ENSG00000185339.8"</f>
        <v>ENSG00000185339.8</v>
      </c>
      <c r="B1774" s="10">
        <v>2.8135404866633502</v>
      </c>
      <c r="C1774" s="10">
        <v>2.9633213773726599</v>
      </c>
      <c r="D1774" s="10">
        <v>55.453912646685701</v>
      </c>
      <c r="E1774" s="13">
        <v>6.8337398283665698E-5</v>
      </c>
      <c r="F1774" s="10" t="str">
        <f>"TCN2"</f>
        <v>TCN2</v>
      </c>
      <c r="G1774" s="10" t="str">
        <f>"protein_coding"</f>
        <v>protein_coding</v>
      </c>
      <c r="J1774" s="14"/>
    </row>
    <row r="1775" spans="1:10" x14ac:dyDescent="0.2">
      <c r="A1775" s="10" t="str">
        <f>"ENSG00000100342.20"</f>
        <v>ENSG00000100342.20</v>
      </c>
      <c r="B1775" s="10">
        <v>1.49330612408703</v>
      </c>
      <c r="C1775" s="10">
        <v>4.0144451280768703</v>
      </c>
      <c r="D1775" s="10">
        <v>6.1016411417154899</v>
      </c>
      <c r="E1775" s="10">
        <v>3.8351937231747298E-2</v>
      </c>
      <c r="F1775" s="10" t="str">
        <f>"APOL1"</f>
        <v>APOL1</v>
      </c>
      <c r="G1775" s="10" t="str">
        <f>"protein_coding"</f>
        <v>protein_coding</v>
      </c>
      <c r="J1775" s="14"/>
    </row>
    <row r="1776" spans="1:10" x14ac:dyDescent="0.2">
      <c r="A1776" s="10" t="str">
        <f>"ENSG00000100360.15"</f>
        <v>ENSG00000100360.15</v>
      </c>
      <c r="B1776" s="10">
        <v>-2.40138087965554</v>
      </c>
      <c r="C1776" s="10">
        <v>-0.24068215776844201</v>
      </c>
      <c r="D1776" s="10">
        <v>20.725654186132399</v>
      </c>
      <c r="E1776" s="10">
        <v>1.80995771965059E-3</v>
      </c>
      <c r="F1776" s="10" t="str">
        <f>"IFT27"</f>
        <v>IFT27</v>
      </c>
      <c r="G1776" s="10" t="str">
        <f>"protein_coding"</f>
        <v>protein_coding</v>
      </c>
      <c r="J1776" s="14"/>
    </row>
    <row r="1777" spans="1:10" x14ac:dyDescent="0.2">
      <c r="A1777" s="10" t="str">
        <f>"ENSG00000231467.2"</f>
        <v>ENSG00000231467.2</v>
      </c>
      <c r="B1777" s="10">
        <v>-5.2745322001630104</v>
      </c>
      <c r="C1777" s="10">
        <v>-2.0475512703138201</v>
      </c>
      <c r="D1777" s="10">
        <v>14.6238663088245</v>
      </c>
      <c r="E1777" s="10">
        <v>8.4509737103162594E-3</v>
      </c>
      <c r="F1777" s="10" t="str">
        <f>"AL022314.1"</f>
        <v>AL022314.1</v>
      </c>
      <c r="G1777" s="10" t="str">
        <f>"antisense"</f>
        <v>antisense</v>
      </c>
      <c r="J1777" s="14"/>
    </row>
    <row r="1778" spans="1:10" x14ac:dyDescent="0.2">
      <c r="A1778" s="10" t="str">
        <f>"ENSG00000100060.17"</f>
        <v>ENSG00000100060.17</v>
      </c>
      <c r="B1778" s="10">
        <v>1.9569653561673399</v>
      </c>
      <c r="C1778" s="10">
        <v>2.0580063621268199</v>
      </c>
      <c r="D1778" s="10">
        <v>19.453535745421501</v>
      </c>
      <c r="E1778" s="10">
        <v>2.1880266739060499E-3</v>
      </c>
      <c r="F1778" s="10" t="str">
        <f>"MFNG"</f>
        <v>MFNG</v>
      </c>
      <c r="G1778" s="10" t="str">
        <f>"protein_coding"</f>
        <v>protein_coding</v>
      </c>
      <c r="J1778" s="14"/>
    </row>
    <row r="1779" spans="1:10" x14ac:dyDescent="0.2">
      <c r="A1779" s="10" t="str">
        <f>"ENSG00000100079.7"</f>
        <v>ENSG00000100079.7</v>
      </c>
      <c r="B1779" s="10">
        <v>2.0784088527682001</v>
      </c>
      <c r="C1779" s="10">
        <v>1.7497078206421499</v>
      </c>
      <c r="D1779" s="10">
        <v>17.1928318108871</v>
      </c>
      <c r="E1779" s="10">
        <v>3.1393767968663799E-3</v>
      </c>
      <c r="F1779" s="10" t="str">
        <f>"LGALS2"</f>
        <v>LGALS2</v>
      </c>
      <c r="G1779" s="10" t="str">
        <f>"protein_coding"</f>
        <v>protein_coding</v>
      </c>
      <c r="J1779" s="14"/>
    </row>
    <row r="1780" spans="1:10" x14ac:dyDescent="0.2">
      <c r="A1780" s="10" t="str">
        <f>"ENSG00000168135.4"</f>
        <v>ENSG00000168135.4</v>
      </c>
      <c r="B1780" s="10">
        <v>-1.6409607013515299</v>
      </c>
      <c r="C1780" s="10">
        <v>0.36099200708342699</v>
      </c>
      <c r="D1780" s="10">
        <v>6.0572697989155202</v>
      </c>
      <c r="E1780" s="10">
        <v>3.8896795170554201E-2</v>
      </c>
      <c r="F1780" s="10" t="str">
        <f>"KCNJ4"</f>
        <v>KCNJ4</v>
      </c>
      <c r="G1780" s="10" t="str">
        <f>"protein_coding"</f>
        <v>protein_coding</v>
      </c>
      <c r="J1780" s="14"/>
    </row>
    <row r="1781" spans="1:10" x14ac:dyDescent="0.2">
      <c r="A1781" s="10" t="str">
        <f>"ENSG00000159958.6"</f>
        <v>ENSG00000159958.6</v>
      </c>
      <c r="B1781" s="10">
        <v>-1.45389070247043</v>
      </c>
      <c r="C1781" s="10">
        <v>0.39053513582506</v>
      </c>
      <c r="D1781" s="10">
        <v>8.1423244151208891</v>
      </c>
      <c r="E1781" s="10">
        <v>2.1096845418621099E-2</v>
      </c>
      <c r="F1781" s="10" t="str">
        <f>"TNFRSF13C"</f>
        <v>TNFRSF13C</v>
      </c>
      <c r="G1781" s="10" t="str">
        <f>"protein_coding"</f>
        <v>protein_coding</v>
      </c>
      <c r="J1781" s="14"/>
    </row>
    <row r="1782" spans="1:10" x14ac:dyDescent="0.2">
      <c r="A1782" s="10" t="str">
        <f>"ENSG00000205704.6"</f>
        <v>ENSG00000205704.6</v>
      </c>
      <c r="B1782" s="10">
        <v>-2.7081284464308002</v>
      </c>
      <c r="C1782" s="10">
        <v>-1.8461907447572901</v>
      </c>
      <c r="D1782" s="10">
        <v>8.7401631681246297</v>
      </c>
      <c r="E1782" s="10">
        <v>1.7999868418407099E-2</v>
      </c>
      <c r="F1782" s="10" t="str">
        <f>"LINC00634"</f>
        <v>LINC00634</v>
      </c>
      <c r="G1782" s="10" t="str">
        <f>"transcribed_unitary_pseudogene"</f>
        <v>transcribed_unitary_pseudogene</v>
      </c>
      <c r="J1782" s="14"/>
    </row>
    <row r="1783" spans="1:10" x14ac:dyDescent="0.2">
      <c r="A1783" s="10" t="str">
        <f>"ENSG00000100167.20"</f>
        <v>ENSG00000100167.20</v>
      </c>
      <c r="B1783" s="10">
        <v>-1.78987250217632</v>
      </c>
      <c r="C1783" s="10">
        <v>1.389247833979</v>
      </c>
      <c r="D1783" s="10">
        <v>5.6676003940687902</v>
      </c>
      <c r="E1783" s="10">
        <v>4.4130494487183598E-2</v>
      </c>
      <c r="F1783" s="10" t="str">
        <f>"SEPT3"</f>
        <v>SEPT3</v>
      </c>
      <c r="G1783" s="10" t="str">
        <f>"protein_coding"</f>
        <v>protein_coding</v>
      </c>
      <c r="J1783" s="14"/>
    </row>
    <row r="1784" spans="1:10" x14ac:dyDescent="0.2">
      <c r="A1784" s="10" t="str">
        <f>"ENSG00000235568.6"</f>
        <v>ENSG00000235568.6</v>
      </c>
      <c r="B1784" s="10">
        <v>-2.7247558962162901</v>
      </c>
      <c r="C1784" s="10">
        <v>-1.84477740413868</v>
      </c>
      <c r="D1784" s="10">
        <v>10.395479342228301</v>
      </c>
      <c r="E1784" s="10">
        <v>1.17461470592046E-2</v>
      </c>
      <c r="F1784" s="10" t="str">
        <f>"NFAM1"</f>
        <v>NFAM1</v>
      </c>
      <c r="G1784" s="10" t="str">
        <f>"protein_coding"</f>
        <v>protein_coding</v>
      </c>
      <c r="J1784" s="14"/>
    </row>
    <row r="1785" spans="1:10" x14ac:dyDescent="0.2">
      <c r="A1785" s="10" t="str">
        <f>"ENSG00000186732.14"</f>
        <v>ENSG00000186732.14</v>
      </c>
      <c r="B1785" s="10">
        <v>-2.4350778303617302</v>
      </c>
      <c r="C1785" s="10">
        <v>-1.99468699383671</v>
      </c>
      <c r="D1785" s="10">
        <v>6.4409429662077597</v>
      </c>
      <c r="E1785" s="10">
        <v>3.4489521228237598E-2</v>
      </c>
      <c r="F1785" s="10" t="str">
        <f>"MPPED1"</f>
        <v>MPPED1</v>
      </c>
      <c r="G1785" s="10" t="str">
        <f>"protein_coding"</f>
        <v>protein_coding</v>
      </c>
      <c r="J1785" s="14"/>
    </row>
    <row r="1786" spans="1:10" x14ac:dyDescent="0.2">
      <c r="A1786" s="10" t="str">
        <f>"ENSG00000056487.16"</f>
        <v>ENSG00000056487.16</v>
      </c>
      <c r="B1786" s="10">
        <v>-3.1148987256552298</v>
      </c>
      <c r="C1786" s="10">
        <v>-0.97785792768027602</v>
      </c>
      <c r="D1786" s="10">
        <v>19.102128683598099</v>
      </c>
      <c r="E1786" s="10">
        <v>2.3094842490377801E-3</v>
      </c>
      <c r="F1786" s="10" t="str">
        <f>"PHF21B"</f>
        <v>PHF21B</v>
      </c>
      <c r="G1786" s="10" t="str">
        <f>"protein_coding"</f>
        <v>protein_coding</v>
      </c>
      <c r="J1786" s="14"/>
    </row>
    <row r="1787" spans="1:10" x14ac:dyDescent="0.2">
      <c r="A1787" s="10" t="str">
        <f>"ENSG00000100373.10"</f>
        <v>ENSG00000100373.10</v>
      </c>
      <c r="B1787" s="10">
        <v>2.1645390808700098</v>
      </c>
      <c r="C1787" s="10">
        <v>0.85859387001558096</v>
      </c>
      <c r="D1787" s="10">
        <v>21.456417256375499</v>
      </c>
      <c r="E1787" s="10">
        <v>1.6294761130205E-3</v>
      </c>
      <c r="F1787" s="10" t="str">
        <f>"UPK3A"</f>
        <v>UPK3A</v>
      </c>
      <c r="G1787" s="10" t="str">
        <f>"protein_coding"</f>
        <v>protein_coding</v>
      </c>
      <c r="J1787" s="14"/>
    </row>
    <row r="1788" spans="1:10" x14ac:dyDescent="0.2">
      <c r="A1788" s="10" t="str">
        <f>"ENSG00000197182.14"</f>
        <v>ENSG00000197182.14</v>
      </c>
      <c r="B1788" s="10">
        <v>2.18236337433297</v>
      </c>
      <c r="C1788" s="10">
        <v>-1.72298209203237</v>
      </c>
      <c r="D1788" s="10">
        <v>5.4294901863356602</v>
      </c>
      <c r="E1788" s="10">
        <v>4.77732174460411E-2</v>
      </c>
      <c r="F1788" s="10" t="str">
        <f>"MIRLET7BHG"</f>
        <v>MIRLET7BHG</v>
      </c>
      <c r="G1788" s="10" t="str">
        <f>"lincRNA"</f>
        <v>lincRNA</v>
      </c>
      <c r="J1788" s="14"/>
    </row>
    <row r="1789" spans="1:10" x14ac:dyDescent="0.2">
      <c r="A1789" s="10" t="str">
        <f>"ENSG00000234869.1"</f>
        <v>ENSG00000234869.1</v>
      </c>
      <c r="B1789" s="10">
        <v>1.62035182107733</v>
      </c>
      <c r="C1789" s="10">
        <v>-0.440248008858525</v>
      </c>
      <c r="D1789" s="10">
        <v>9.7235184918714896</v>
      </c>
      <c r="E1789" s="10">
        <v>1.40496965803877E-2</v>
      </c>
      <c r="F1789" s="10" t="str">
        <f>"AL021392.1"</f>
        <v>AL021392.1</v>
      </c>
      <c r="G1789" s="10" t="str">
        <f>"antisense"</f>
        <v>antisense</v>
      </c>
      <c r="J1789" s="14"/>
    </row>
    <row r="1790" spans="1:10" x14ac:dyDescent="0.2">
      <c r="A1790" s="10" t="str">
        <f>"ENSG00000073150.13"</f>
        <v>ENSG00000073150.13</v>
      </c>
      <c r="B1790" s="10">
        <v>1.8455693883455799</v>
      </c>
      <c r="C1790" s="10">
        <v>2.5170018024046299</v>
      </c>
      <c r="D1790" s="10">
        <v>9.1102581246821206</v>
      </c>
      <c r="E1790" s="10">
        <v>1.6366760070946298E-2</v>
      </c>
      <c r="F1790" s="10" t="str">
        <f>"PANX2"</f>
        <v>PANX2</v>
      </c>
      <c r="G1790" s="10" t="str">
        <f t="shared" ref="G1790:G1803" si="68">"protein_coding"</f>
        <v>protein_coding</v>
      </c>
      <c r="J1790" s="14"/>
    </row>
    <row r="1791" spans="1:10" x14ac:dyDescent="0.2">
      <c r="A1791" s="10" t="str">
        <f>"ENSG00000185386.15"</f>
        <v>ENSG00000185386.15</v>
      </c>
      <c r="B1791" s="10">
        <v>-1.6453824012040601</v>
      </c>
      <c r="C1791" s="10">
        <v>3.76747759965899</v>
      </c>
      <c r="D1791" s="10">
        <v>10.00741333395</v>
      </c>
      <c r="E1791" s="10">
        <v>1.31170035655082E-2</v>
      </c>
      <c r="F1791" s="10" t="str">
        <f>"MAPK11"</f>
        <v>MAPK11</v>
      </c>
      <c r="G1791" s="10" t="str">
        <f t="shared" si="68"/>
        <v>protein_coding</v>
      </c>
      <c r="J1791" s="14"/>
    </row>
    <row r="1792" spans="1:10" x14ac:dyDescent="0.2">
      <c r="A1792" s="10" t="str">
        <f>"ENSG00000008735.14"</f>
        <v>ENSG00000008735.14</v>
      </c>
      <c r="B1792" s="10">
        <v>-1.41739070892107</v>
      </c>
      <c r="C1792" s="10">
        <v>2.56557474723289</v>
      </c>
      <c r="D1792" s="10">
        <v>10.0783968314062</v>
      </c>
      <c r="E1792" s="10">
        <v>1.2896053223398801E-2</v>
      </c>
      <c r="F1792" s="10" t="str">
        <f>"MAPK8IP2"</f>
        <v>MAPK8IP2</v>
      </c>
      <c r="G1792" s="10" t="str">
        <f t="shared" si="68"/>
        <v>protein_coding</v>
      </c>
      <c r="J1792" s="14"/>
    </row>
    <row r="1793" spans="1:10" x14ac:dyDescent="0.2">
      <c r="A1793" s="10" t="str">
        <f>"ENSG00000124343.13"</f>
        <v>ENSG00000124343.13</v>
      </c>
      <c r="B1793" s="10">
        <v>-2.48311605521745</v>
      </c>
      <c r="C1793" s="10">
        <v>-1.15951012924653</v>
      </c>
      <c r="D1793" s="10">
        <v>16.422655040519501</v>
      </c>
      <c r="E1793" s="10">
        <v>3.45468298537244E-3</v>
      </c>
      <c r="F1793" s="10" t="str">
        <f>"XG"</f>
        <v>XG</v>
      </c>
      <c r="G1793" s="10" t="str">
        <f t="shared" si="68"/>
        <v>protein_coding</v>
      </c>
      <c r="J1793" s="14"/>
    </row>
    <row r="1794" spans="1:10" x14ac:dyDescent="0.2">
      <c r="A1794" s="10" t="str">
        <f>"ENSG00000101825.8"</f>
        <v>ENSG00000101825.8</v>
      </c>
      <c r="B1794" s="10">
        <v>-2.73441657612566</v>
      </c>
      <c r="C1794" s="10">
        <v>-1.8468685193343599</v>
      </c>
      <c r="D1794" s="10">
        <v>10.437900525966301</v>
      </c>
      <c r="E1794" s="10">
        <v>1.16359645085329E-2</v>
      </c>
      <c r="F1794" s="10" t="str">
        <f>"MXRA5"</f>
        <v>MXRA5</v>
      </c>
      <c r="G1794" s="10" t="str">
        <f t="shared" si="68"/>
        <v>protein_coding</v>
      </c>
      <c r="J1794" s="14"/>
    </row>
    <row r="1795" spans="1:10" x14ac:dyDescent="0.2">
      <c r="A1795" s="10" t="str">
        <f>"ENSG00000011201.12"</f>
        <v>ENSG00000011201.12</v>
      </c>
      <c r="B1795" s="10">
        <v>-2.3657078820048199</v>
      </c>
      <c r="C1795" s="10">
        <v>0.67445478775543799</v>
      </c>
      <c r="D1795" s="10">
        <v>16.972902174849899</v>
      </c>
      <c r="E1795" s="10">
        <v>3.2574694252362102E-3</v>
      </c>
      <c r="F1795" s="10" t="str">
        <f>"ANOS1"</f>
        <v>ANOS1</v>
      </c>
      <c r="G1795" s="10" t="str">
        <f t="shared" si="68"/>
        <v>protein_coding</v>
      </c>
      <c r="J1795" s="14"/>
    </row>
    <row r="1796" spans="1:10" x14ac:dyDescent="0.2">
      <c r="A1796" s="10" t="str">
        <f>"ENSG00000101849.16"</f>
        <v>ENSG00000101849.16</v>
      </c>
      <c r="B1796" s="10">
        <v>1.0022339109857099</v>
      </c>
      <c r="C1796" s="10">
        <v>4.2943037993042603</v>
      </c>
      <c r="D1796" s="10">
        <v>25.340754712245001</v>
      </c>
      <c r="E1796" s="10">
        <v>9.2382354376200802E-4</v>
      </c>
      <c r="F1796" s="10" t="str">
        <f>"TBL1X"</f>
        <v>TBL1X</v>
      </c>
      <c r="G1796" s="10" t="str">
        <f t="shared" si="68"/>
        <v>protein_coding</v>
      </c>
      <c r="J1796" s="14"/>
    </row>
    <row r="1797" spans="1:10" x14ac:dyDescent="0.2">
      <c r="A1797" s="10" t="str">
        <f>"ENSG00000101850.13"</f>
        <v>ENSG00000101850.13</v>
      </c>
      <c r="B1797" s="10">
        <v>-1.51857457951011</v>
      </c>
      <c r="C1797" s="10">
        <v>1.02533020388873</v>
      </c>
      <c r="D1797" s="10">
        <v>19.427260348912</v>
      </c>
      <c r="E1797" s="10">
        <v>2.1391341157989299E-3</v>
      </c>
      <c r="F1797" s="10" t="str">
        <f>"GPR143"</f>
        <v>GPR143</v>
      </c>
      <c r="G1797" s="10" t="str">
        <f t="shared" si="68"/>
        <v>protein_coding</v>
      </c>
      <c r="J1797" s="14"/>
    </row>
    <row r="1798" spans="1:10" x14ac:dyDescent="0.2">
      <c r="A1798" s="10" t="str">
        <f>"ENSG00000087842.11"</f>
        <v>ENSG00000087842.11</v>
      </c>
      <c r="B1798" s="10">
        <v>1.67123937749393</v>
      </c>
      <c r="C1798" s="10">
        <v>4.0245657562806896</v>
      </c>
      <c r="D1798" s="10">
        <v>34.5706654041999</v>
      </c>
      <c r="E1798" s="10">
        <v>3.5308673326437301E-4</v>
      </c>
      <c r="F1798" s="10" t="str">
        <f>"PIR"</f>
        <v>PIR</v>
      </c>
      <c r="G1798" s="10" t="str">
        <f t="shared" si="68"/>
        <v>protein_coding</v>
      </c>
      <c r="J1798" s="14"/>
    </row>
    <row r="1799" spans="1:10" x14ac:dyDescent="0.2">
      <c r="A1799" s="10" t="str">
        <f>"ENSG00000130234.10"</f>
        <v>ENSG00000130234.10</v>
      </c>
      <c r="B1799" s="10">
        <v>5.2581059094877496</v>
      </c>
      <c r="C1799" s="10">
        <v>-2.1253454062255401</v>
      </c>
      <c r="D1799" s="10">
        <v>17.5037460023741</v>
      </c>
      <c r="E1799" s="10">
        <v>5.4947255921115601E-3</v>
      </c>
      <c r="F1799" s="10" t="str">
        <f>"ACE2"</f>
        <v>ACE2</v>
      </c>
      <c r="G1799" s="10" t="str">
        <f t="shared" si="68"/>
        <v>protein_coding</v>
      </c>
      <c r="J1799" s="14"/>
    </row>
    <row r="1800" spans="1:10" x14ac:dyDescent="0.2">
      <c r="A1800" s="10" t="str">
        <f>"ENSG00000188158.15"</f>
        <v>ENSG00000188158.15</v>
      </c>
      <c r="B1800" s="10">
        <v>-1.5111561390829</v>
      </c>
      <c r="C1800" s="10">
        <v>-0.124949234129186</v>
      </c>
      <c r="D1800" s="10">
        <v>6.7137496338227098</v>
      </c>
      <c r="E1800" s="10">
        <v>3.1735375698231601E-2</v>
      </c>
      <c r="F1800" s="10" t="str">
        <f>"NHS"</f>
        <v>NHS</v>
      </c>
      <c r="G1800" s="10" t="str">
        <f t="shared" si="68"/>
        <v>protein_coding</v>
      </c>
      <c r="J1800" s="14"/>
    </row>
    <row r="1801" spans="1:10" x14ac:dyDescent="0.2">
      <c r="A1801" s="10" t="str">
        <f>"ENSG00000044446.11"</f>
        <v>ENSG00000044446.11</v>
      </c>
      <c r="B1801" s="10">
        <v>1.1042193875616699</v>
      </c>
      <c r="C1801" s="10">
        <v>5.7883254835067097</v>
      </c>
      <c r="D1801" s="10">
        <v>5.8032399396032899</v>
      </c>
      <c r="E1801" s="10">
        <v>4.2212644052473401E-2</v>
      </c>
      <c r="F1801" s="10" t="str">
        <f>"PHKA2"</f>
        <v>PHKA2</v>
      </c>
      <c r="G1801" s="10" t="str">
        <f t="shared" si="68"/>
        <v>protein_coding</v>
      </c>
      <c r="J1801" s="14"/>
    </row>
    <row r="1802" spans="1:10" x14ac:dyDescent="0.2">
      <c r="A1802" s="10" t="str">
        <f>"ENSG00000177189.13"</f>
        <v>ENSG00000177189.13</v>
      </c>
      <c r="B1802" s="10">
        <v>1.31830489819204</v>
      </c>
      <c r="C1802" s="10">
        <v>7.6706771418312298</v>
      </c>
      <c r="D1802" s="10">
        <v>7.1734776126263604</v>
      </c>
      <c r="E1802" s="10">
        <v>2.76936296582764E-2</v>
      </c>
      <c r="F1802" s="10" t="str">
        <f>"RPS6KA3"</f>
        <v>RPS6KA3</v>
      </c>
      <c r="G1802" s="10" t="str">
        <f t="shared" si="68"/>
        <v>protein_coding</v>
      </c>
      <c r="J1802" s="14"/>
    </row>
    <row r="1803" spans="1:10" x14ac:dyDescent="0.2">
      <c r="A1803" s="10" t="str">
        <f>"ENSG00000176746.6"</f>
        <v>ENSG00000176746.6</v>
      </c>
      <c r="B1803" s="10">
        <v>-2.1652542108186799</v>
      </c>
      <c r="C1803" s="10">
        <v>0.14182145346200101</v>
      </c>
      <c r="D1803" s="10">
        <v>7.6310176472257396</v>
      </c>
      <c r="E1803" s="10">
        <v>2.4295703883420901E-2</v>
      </c>
      <c r="F1803" s="10" t="str">
        <f>"MAGEB6"</f>
        <v>MAGEB6</v>
      </c>
      <c r="G1803" s="10" t="str">
        <f t="shared" si="68"/>
        <v>protein_coding</v>
      </c>
      <c r="J1803" s="14"/>
    </row>
    <row r="1804" spans="1:10" x14ac:dyDescent="0.2">
      <c r="A1804" s="10" t="str">
        <f>"ENSG00000226781.1"</f>
        <v>ENSG00000226781.1</v>
      </c>
      <c r="B1804" s="10">
        <v>1.37609445324516</v>
      </c>
      <c r="C1804" s="10">
        <v>-0.29620772772524501</v>
      </c>
      <c r="D1804" s="10">
        <v>7.2327126701203497</v>
      </c>
      <c r="E1804" s="10">
        <v>2.7221299937644699E-2</v>
      </c>
      <c r="F1804" s="10" t="str">
        <f>"TBCAP1"</f>
        <v>TBCAP1</v>
      </c>
      <c r="G1804" s="10" t="str">
        <f>"processed_pseudogene"</f>
        <v>processed_pseudogene</v>
      </c>
      <c r="J1804" s="14"/>
    </row>
    <row r="1805" spans="1:10" x14ac:dyDescent="0.2">
      <c r="A1805" s="10" t="str">
        <f>"ENSG00000156298.12"</f>
        <v>ENSG00000156298.12</v>
      </c>
      <c r="B1805" s="10">
        <v>-1.16397079691655</v>
      </c>
      <c r="C1805" s="10">
        <v>0.49998277152568299</v>
      </c>
      <c r="D1805" s="10">
        <v>6.7780810047406899</v>
      </c>
      <c r="E1805" s="10">
        <v>3.1126871796938599E-2</v>
      </c>
      <c r="F1805" s="10" t="str">
        <f>"TSPAN7"</f>
        <v>TSPAN7</v>
      </c>
      <c r="G1805" s="10" t="str">
        <f>"protein_coding"</f>
        <v>protein_coding</v>
      </c>
      <c r="J1805" s="14"/>
    </row>
    <row r="1806" spans="1:10" x14ac:dyDescent="0.2">
      <c r="A1806" s="10" t="str">
        <f>"ENSG00000165175.15"</f>
        <v>ENSG00000165175.15</v>
      </c>
      <c r="B1806" s="10">
        <v>-1.3927893381652401</v>
      </c>
      <c r="C1806" s="10">
        <v>4.7787762005748498</v>
      </c>
      <c r="D1806" s="10">
        <v>23.718519658503698</v>
      </c>
      <c r="E1806" s="10">
        <v>1.1966080049807301E-3</v>
      </c>
      <c r="F1806" s="10" t="str">
        <f>"MID1IP1"</f>
        <v>MID1IP1</v>
      </c>
      <c r="G1806" s="10" t="str">
        <f>"protein_coding"</f>
        <v>protein_coding</v>
      </c>
      <c r="J1806" s="14"/>
    </row>
    <row r="1807" spans="1:10" x14ac:dyDescent="0.2">
      <c r="A1807" s="10" t="str">
        <f>"ENSG00000238123.1"</f>
        <v>ENSG00000238123.1</v>
      </c>
      <c r="B1807" s="10">
        <v>-1.6085044087390199</v>
      </c>
      <c r="C1807" s="10">
        <v>-0.96595269527298999</v>
      </c>
      <c r="D1807" s="10">
        <v>6.9428971397114498</v>
      </c>
      <c r="E1807" s="10">
        <v>2.9633857673551402E-2</v>
      </c>
      <c r="F1807" s="10" t="str">
        <f>"MID1IP1-AS1"</f>
        <v>MID1IP1-AS1</v>
      </c>
      <c r="G1807" s="10" t="str">
        <f>"antisense"</f>
        <v>antisense</v>
      </c>
      <c r="J1807" s="14"/>
    </row>
    <row r="1808" spans="1:10" x14ac:dyDescent="0.2">
      <c r="A1808" s="10" t="str">
        <f>"ENSG00000189221.9"</f>
        <v>ENSG00000189221.9</v>
      </c>
      <c r="B1808" s="10">
        <v>1.39106969063657</v>
      </c>
      <c r="C1808" s="10">
        <v>5.4922335770463899</v>
      </c>
      <c r="D1808" s="10">
        <v>15.464537425540801</v>
      </c>
      <c r="E1808" s="10">
        <v>4.2369978673965098E-3</v>
      </c>
      <c r="F1808" s="10" t="str">
        <f>"MAOA"</f>
        <v>MAOA</v>
      </c>
      <c r="G1808" s="10" t="str">
        <f>"protein_coding"</f>
        <v>protein_coding</v>
      </c>
      <c r="J1808" s="14"/>
    </row>
    <row r="1809" spans="1:10" x14ac:dyDescent="0.2">
      <c r="A1809" s="10" t="str">
        <f>"ENSG00000235636.1"</f>
        <v>ENSG00000235636.1</v>
      </c>
      <c r="B1809" s="10">
        <v>1.5655780167570901</v>
      </c>
      <c r="C1809" s="10">
        <v>-0.33179239788797799</v>
      </c>
      <c r="D1809" s="10">
        <v>6.6828069846791198</v>
      </c>
      <c r="E1809" s="10">
        <v>3.2033417661871497E-2</v>
      </c>
      <c r="F1809" s="10" t="str">
        <f>"NUS1P1"</f>
        <v>NUS1P1</v>
      </c>
      <c r="G1809" s="10" t="str">
        <f>"processed_pseudogene"</f>
        <v>processed_pseudogene</v>
      </c>
      <c r="J1809" s="14"/>
    </row>
    <row r="1810" spans="1:10" x14ac:dyDescent="0.2">
      <c r="A1810" s="10" t="str">
        <f>"ENSG00000267064.1"</f>
        <v>ENSG00000267064.1</v>
      </c>
      <c r="B1810" s="10">
        <v>2.0879023041201501</v>
      </c>
      <c r="C1810" s="10">
        <v>-1.2264259419983901</v>
      </c>
      <c r="D1810" s="10">
        <v>6.6508659730335804</v>
      </c>
      <c r="E1810" s="10">
        <v>3.2344799535551597E-2</v>
      </c>
      <c r="F1810" s="10" t="str">
        <f>"UXT-AS1"</f>
        <v>UXT-AS1</v>
      </c>
      <c r="G1810" s="10" t="str">
        <f>"antisense"</f>
        <v>antisense</v>
      </c>
      <c r="J1810" s="14"/>
    </row>
    <row r="1811" spans="1:10" x14ac:dyDescent="0.2">
      <c r="A1811" s="10" t="str">
        <f>"ENSG00000234390.4"</f>
        <v>ENSG00000234390.4</v>
      </c>
      <c r="B1811" s="10">
        <v>1.5538804492582301</v>
      </c>
      <c r="C1811" s="10">
        <v>1.30018385761308</v>
      </c>
      <c r="D1811" s="10">
        <v>22.043621136614501</v>
      </c>
      <c r="E1811" s="10">
        <v>1.4611526710550399E-3</v>
      </c>
      <c r="F1811" s="10" t="str">
        <f>"USP27X-AS1"</f>
        <v>USP27X-AS1</v>
      </c>
      <c r="G1811" s="10" t="str">
        <f>"lincRNA"</f>
        <v>lincRNA</v>
      </c>
      <c r="J1811" s="14"/>
    </row>
    <row r="1812" spans="1:10" x14ac:dyDescent="0.2">
      <c r="A1812" s="10" t="str">
        <f>"ENSG00000171365.17"</f>
        <v>ENSG00000171365.17</v>
      </c>
      <c r="B1812" s="10">
        <v>1.3576173418555499</v>
      </c>
      <c r="C1812" s="10">
        <v>5.8717026166132698</v>
      </c>
      <c r="D1812" s="10">
        <v>36.144541141012503</v>
      </c>
      <c r="E1812" s="10">
        <v>3.0393372076667398E-4</v>
      </c>
      <c r="F1812" s="10" t="str">
        <f>"CLCN5"</f>
        <v>CLCN5</v>
      </c>
      <c r="G1812" s="10" t="str">
        <f>"protein_coding"</f>
        <v>protein_coding</v>
      </c>
      <c r="J1812" s="14"/>
    </row>
    <row r="1813" spans="1:10" x14ac:dyDescent="0.2">
      <c r="A1813" s="10" t="str">
        <f>"ENSG00000154545.16"</f>
        <v>ENSG00000154545.16</v>
      </c>
      <c r="B1813" s="10">
        <v>4.9876216630239698</v>
      </c>
      <c r="C1813" s="10">
        <v>1.07767473416572</v>
      </c>
      <c r="D1813" s="10">
        <v>14.0281012372257</v>
      </c>
      <c r="E1813" s="10">
        <v>5.5370574014390198E-3</v>
      </c>
      <c r="F1813" s="10" t="str">
        <f>"MAGED4"</f>
        <v>MAGED4</v>
      </c>
      <c r="G1813" s="10" t="str">
        <f>"protein_coding"</f>
        <v>protein_coding</v>
      </c>
      <c r="J1813" s="14"/>
    </row>
    <row r="1814" spans="1:10" x14ac:dyDescent="0.2">
      <c r="A1814" s="10" t="str">
        <f>"ENSG00000227329.2"</f>
        <v>ENSG00000227329.2</v>
      </c>
      <c r="B1814" s="10">
        <v>2.31502230461501</v>
      </c>
      <c r="C1814" s="10">
        <v>-1.2393011394962701</v>
      </c>
      <c r="D1814" s="10">
        <v>5.7333697787813804</v>
      </c>
      <c r="E1814" s="10">
        <v>4.3187040368617299E-2</v>
      </c>
      <c r="F1814" s="10" t="str">
        <f>"AL139396.1"</f>
        <v>AL139396.1</v>
      </c>
      <c r="G1814" s="10" t="str">
        <f>"processed_pseudogene"</f>
        <v>processed_pseudogene</v>
      </c>
      <c r="J1814" s="14"/>
    </row>
    <row r="1815" spans="1:10" x14ac:dyDescent="0.2">
      <c r="A1815" s="10" t="str">
        <f>"ENSG00000221716.1"</f>
        <v>ENSG00000221716.1</v>
      </c>
      <c r="B1815" s="10">
        <v>-2.0461970202383601</v>
      </c>
      <c r="C1815" s="10">
        <v>-1.89606317221849</v>
      </c>
      <c r="D1815" s="10">
        <v>5.7254374333971096</v>
      </c>
      <c r="E1815" s="10">
        <v>4.3232945042018897E-2</v>
      </c>
      <c r="F1815" s="10" t="str">
        <f>"SNORA11"</f>
        <v>SNORA11</v>
      </c>
      <c r="G1815" s="10" t="str">
        <f>"snoRNA"</f>
        <v>snoRNA</v>
      </c>
      <c r="J1815" s="14"/>
    </row>
    <row r="1816" spans="1:10" x14ac:dyDescent="0.2">
      <c r="A1816" s="10" t="str">
        <f>"ENSG00000187601.4"</f>
        <v>ENSG00000187601.4</v>
      </c>
      <c r="B1816" s="10">
        <v>-1.6444760369321501</v>
      </c>
      <c r="C1816" s="10">
        <v>3.5763974161242502</v>
      </c>
      <c r="D1816" s="10">
        <v>43.583063086954098</v>
      </c>
      <c r="E1816" s="10">
        <v>1.5916460442173599E-4</v>
      </c>
      <c r="F1816" s="10" t="str">
        <f>"MAGEH1"</f>
        <v>MAGEH1</v>
      </c>
      <c r="G1816" s="10" t="str">
        <f t="shared" ref="G1816:G1830" si="69">"protein_coding"</f>
        <v>protein_coding</v>
      </c>
      <c r="J1816" s="14"/>
    </row>
    <row r="1817" spans="1:10" x14ac:dyDescent="0.2">
      <c r="A1817" s="10" t="str">
        <f>"ENSG00000131089.15"</f>
        <v>ENSG00000131089.15</v>
      </c>
      <c r="B1817" s="10">
        <v>-1.49291527785518</v>
      </c>
      <c r="C1817" s="10">
        <v>0.43017386927114498</v>
      </c>
      <c r="D1817" s="10">
        <v>8.8921232487486801</v>
      </c>
      <c r="E1817" s="10">
        <v>1.7305578803106601E-2</v>
      </c>
      <c r="F1817" s="10" t="str">
        <f>"ARHGEF9"</f>
        <v>ARHGEF9</v>
      </c>
      <c r="G1817" s="10" t="str">
        <f t="shared" si="69"/>
        <v>protein_coding</v>
      </c>
      <c r="J1817" s="14"/>
    </row>
    <row r="1818" spans="1:10" x14ac:dyDescent="0.2">
      <c r="A1818" s="10" t="str">
        <f>"ENSG00000130054.4"</f>
        <v>ENSG00000130054.4</v>
      </c>
      <c r="B1818" s="10">
        <v>-1.1353479755996501</v>
      </c>
      <c r="C1818" s="10">
        <v>2.7647132875912201</v>
      </c>
      <c r="D1818" s="10">
        <v>12.4423618147745</v>
      </c>
      <c r="E1818" s="10">
        <v>7.6101247289856802E-3</v>
      </c>
      <c r="F1818" s="10" t="str">
        <f>"FAM155B"</f>
        <v>FAM155B</v>
      </c>
      <c r="G1818" s="10" t="str">
        <f t="shared" si="69"/>
        <v>protein_coding</v>
      </c>
      <c r="J1818" s="14"/>
    </row>
    <row r="1819" spans="1:10" x14ac:dyDescent="0.2">
      <c r="A1819" s="10" t="str">
        <f>"ENSG00000120500.17"</f>
        <v>ENSG00000120500.17</v>
      </c>
      <c r="B1819" s="10">
        <v>-1.06840861067411</v>
      </c>
      <c r="C1819" s="10">
        <v>0.61815784259569095</v>
      </c>
      <c r="D1819" s="10">
        <v>12.195254739664099</v>
      </c>
      <c r="E1819" s="10">
        <v>7.8074239619729102E-3</v>
      </c>
      <c r="F1819" s="10" t="str">
        <f>"ARR3"</f>
        <v>ARR3</v>
      </c>
      <c r="G1819" s="10" t="str">
        <f t="shared" si="69"/>
        <v>protein_coding</v>
      </c>
      <c r="J1819" s="14"/>
    </row>
    <row r="1820" spans="1:10" x14ac:dyDescent="0.2">
      <c r="A1820" s="10" t="str">
        <f>"ENSG00000184481.16"</f>
        <v>ENSG00000184481.16</v>
      </c>
      <c r="B1820" s="10">
        <v>1.06069855890384</v>
      </c>
      <c r="C1820" s="10">
        <v>2.7222116687038098</v>
      </c>
      <c r="D1820" s="10">
        <v>10.1638715756423</v>
      </c>
      <c r="E1820" s="10">
        <v>1.2636161282760201E-2</v>
      </c>
      <c r="F1820" s="10" t="str">
        <f>"FOXO4"</f>
        <v>FOXO4</v>
      </c>
      <c r="G1820" s="10" t="str">
        <f t="shared" si="69"/>
        <v>protein_coding</v>
      </c>
      <c r="J1820" s="14"/>
    </row>
    <row r="1821" spans="1:10" x14ac:dyDescent="0.2">
      <c r="A1821" s="10" t="str">
        <f>"ENSG00000242732.4"</f>
        <v>ENSG00000242732.4</v>
      </c>
      <c r="B1821" s="10">
        <v>-1.6529393516346</v>
      </c>
      <c r="C1821" s="10">
        <v>4.2273239244999399</v>
      </c>
      <c r="D1821" s="10">
        <v>7.3293215483337697</v>
      </c>
      <c r="E1821" s="10">
        <v>2.6472565221144901E-2</v>
      </c>
      <c r="F1821" s="10" t="str">
        <f>"RTL5"</f>
        <v>RTL5</v>
      </c>
      <c r="G1821" s="10" t="str">
        <f t="shared" si="69"/>
        <v>protein_coding</v>
      </c>
      <c r="J1821" s="14"/>
    </row>
    <row r="1822" spans="1:10" x14ac:dyDescent="0.2">
      <c r="A1822" s="10" t="str">
        <f>"ENSG00000186462.8"</f>
        <v>ENSG00000186462.8</v>
      </c>
      <c r="B1822" s="10">
        <v>3.6347159226792698</v>
      </c>
      <c r="C1822" s="10">
        <v>1.4605898574579099</v>
      </c>
      <c r="D1822" s="10">
        <v>45.617874864407902</v>
      </c>
      <c r="E1822" s="10">
        <v>1.3645646616209999E-4</v>
      </c>
      <c r="F1822" s="10" t="str">
        <f>"NAP1L2"</f>
        <v>NAP1L2</v>
      </c>
      <c r="G1822" s="10" t="str">
        <f t="shared" si="69"/>
        <v>protein_coding</v>
      </c>
      <c r="J1822" s="14"/>
    </row>
    <row r="1823" spans="1:10" x14ac:dyDescent="0.2">
      <c r="A1823" s="10" t="str">
        <f>"ENSG00000198157.10"</f>
        <v>ENSG00000198157.10</v>
      </c>
      <c r="B1823" s="10">
        <v>-1.2463389106338001</v>
      </c>
      <c r="C1823" s="10">
        <v>0.102493010336511</v>
      </c>
      <c r="D1823" s="10">
        <v>7.0866771548313299</v>
      </c>
      <c r="E1823" s="10">
        <v>2.8404620378947799E-2</v>
      </c>
      <c r="F1823" s="10" t="str">
        <f>"HMGN5"</f>
        <v>HMGN5</v>
      </c>
      <c r="G1823" s="10" t="str">
        <f t="shared" si="69"/>
        <v>protein_coding</v>
      </c>
      <c r="J1823" s="14"/>
    </row>
    <row r="1824" spans="1:10" x14ac:dyDescent="0.2">
      <c r="A1824" s="10" t="str">
        <f>"ENSG00000126733.21"</f>
        <v>ENSG00000126733.21</v>
      </c>
      <c r="B1824" s="10">
        <v>-1.3072875114129701</v>
      </c>
      <c r="C1824" s="10">
        <v>-0.87605060011453695</v>
      </c>
      <c r="D1824" s="10">
        <v>5.4294037984042598</v>
      </c>
      <c r="E1824" s="10">
        <v>4.7774607096470099E-2</v>
      </c>
      <c r="F1824" s="10" t="str">
        <f>"DACH2"</f>
        <v>DACH2</v>
      </c>
      <c r="G1824" s="10" t="str">
        <f t="shared" si="69"/>
        <v>protein_coding</v>
      </c>
      <c r="J1824" s="14"/>
    </row>
    <row r="1825" spans="1:10" x14ac:dyDescent="0.2">
      <c r="A1825" s="10" t="str">
        <f>"ENSG00000102271.14"</f>
        <v>ENSG00000102271.14</v>
      </c>
      <c r="B1825" s="10">
        <v>1.36374820212979</v>
      </c>
      <c r="C1825" s="10">
        <v>-0.97655092014962597</v>
      </c>
      <c r="D1825" s="10">
        <v>7.1706538196026104</v>
      </c>
      <c r="E1825" s="10">
        <v>2.7307823461623599E-2</v>
      </c>
      <c r="F1825" s="10" t="str">
        <f>"KLHL4"</f>
        <v>KLHL4</v>
      </c>
      <c r="G1825" s="10" t="str">
        <f t="shared" si="69"/>
        <v>protein_coding</v>
      </c>
      <c r="J1825" s="14"/>
    </row>
    <row r="1826" spans="1:10" x14ac:dyDescent="0.2">
      <c r="A1826" s="10" t="str">
        <f>"ENSG00000102359.7"</f>
        <v>ENSG00000102359.7</v>
      </c>
      <c r="B1826" s="10">
        <v>2.17398746427931</v>
      </c>
      <c r="C1826" s="10">
        <v>2.6875782753491499</v>
      </c>
      <c r="D1826" s="10">
        <v>48.819785497488198</v>
      </c>
      <c r="E1826" s="10">
        <v>1.07517201946303E-4</v>
      </c>
      <c r="F1826" s="10" t="str">
        <f>"SRPX2"</f>
        <v>SRPX2</v>
      </c>
      <c r="G1826" s="10" t="str">
        <f t="shared" si="69"/>
        <v>protein_coding</v>
      </c>
      <c r="J1826" s="14"/>
    </row>
    <row r="1827" spans="1:10" x14ac:dyDescent="0.2">
      <c r="A1827" s="10" t="str">
        <f>"ENSG00000102362.15"</f>
        <v>ENSG00000102362.15</v>
      </c>
      <c r="B1827" s="10">
        <v>1.3792836291489099</v>
      </c>
      <c r="C1827" s="10">
        <v>0.418476995004959</v>
      </c>
      <c r="D1827" s="10">
        <v>10.3869191741777</v>
      </c>
      <c r="E1827" s="10">
        <v>1.1988286913670701E-2</v>
      </c>
      <c r="F1827" s="10" t="str">
        <f>"SYTL4"</f>
        <v>SYTL4</v>
      </c>
      <c r="G1827" s="10" t="str">
        <f t="shared" si="69"/>
        <v>protein_coding</v>
      </c>
      <c r="J1827" s="14"/>
    </row>
    <row r="1828" spans="1:10" x14ac:dyDescent="0.2">
      <c r="A1828" s="10" t="str">
        <f>"ENSG00000133169.6"</f>
        <v>ENSG00000133169.6</v>
      </c>
      <c r="B1828" s="10">
        <v>-1.01969072532281</v>
      </c>
      <c r="C1828" s="10">
        <v>3.61820603837262</v>
      </c>
      <c r="D1828" s="10">
        <v>9.3434203979360895</v>
      </c>
      <c r="E1828" s="10">
        <v>1.5432972976022001E-2</v>
      </c>
      <c r="F1828" s="10" t="str">
        <f>"BEX1"</f>
        <v>BEX1</v>
      </c>
      <c r="G1828" s="10" t="str">
        <f t="shared" si="69"/>
        <v>protein_coding</v>
      </c>
      <c r="J1828" s="14"/>
    </row>
    <row r="1829" spans="1:10" x14ac:dyDescent="0.2">
      <c r="A1829" s="10" t="str">
        <f>"ENSG00000102409.10"</f>
        <v>ENSG00000102409.10</v>
      </c>
      <c r="B1829" s="10">
        <v>-2.8421486431085801</v>
      </c>
      <c r="C1829" s="10">
        <v>-1.4242092219821201</v>
      </c>
      <c r="D1829" s="10">
        <v>6.0166313589946299</v>
      </c>
      <c r="E1829" s="10">
        <v>3.9404454489905101E-2</v>
      </c>
      <c r="F1829" s="10" t="str">
        <f>"BEX4"</f>
        <v>BEX4</v>
      </c>
      <c r="G1829" s="10" t="str">
        <f t="shared" si="69"/>
        <v>protein_coding</v>
      </c>
      <c r="J1829" s="14"/>
    </row>
    <row r="1830" spans="1:10" x14ac:dyDescent="0.2">
      <c r="A1830" s="10" t="str">
        <f>"ENSG00000123570.4"</f>
        <v>ENSG00000123570.4</v>
      </c>
      <c r="B1830" s="10">
        <v>1.5029049487791999</v>
      </c>
      <c r="C1830" s="10">
        <v>1.4713213917532799</v>
      </c>
      <c r="D1830" s="10">
        <v>19.134358394902002</v>
      </c>
      <c r="E1830" s="10">
        <v>2.2979992988098998E-3</v>
      </c>
      <c r="F1830" s="10" t="str">
        <f>"RAB9B"</f>
        <v>RAB9B</v>
      </c>
      <c r="G1830" s="10" t="str">
        <f t="shared" si="69"/>
        <v>protein_coding</v>
      </c>
      <c r="J1830" s="14"/>
    </row>
    <row r="1831" spans="1:10" x14ac:dyDescent="0.2">
      <c r="A1831" s="10" t="str">
        <f>"ENSG00000207146.1"</f>
        <v>ENSG00000207146.1</v>
      </c>
      <c r="B1831" s="10">
        <v>-1.0957238558708</v>
      </c>
      <c r="C1831" s="10">
        <v>-0.61532899889710002</v>
      </c>
      <c r="D1831" s="10">
        <v>6.06415217941887</v>
      </c>
      <c r="E1831" s="10">
        <v>3.8340119454710199E-2</v>
      </c>
      <c r="F1831" s="10" t="str">
        <f>"RF00019"</f>
        <v>RF00019</v>
      </c>
      <c r="G1831" s="10" t="str">
        <f>"misc_RNA"</f>
        <v>misc_RNA</v>
      </c>
      <c r="J1831" s="14"/>
    </row>
    <row r="1832" spans="1:10" x14ac:dyDescent="0.2">
      <c r="A1832" s="10" t="str">
        <f>"ENSG00000243978.8"</f>
        <v>ENSG00000243978.8</v>
      </c>
      <c r="B1832" s="10">
        <v>-1.9493501076444</v>
      </c>
      <c r="C1832" s="10">
        <v>-1.03271804183991</v>
      </c>
      <c r="D1832" s="10">
        <v>6.5340631479943401</v>
      </c>
      <c r="E1832" s="10">
        <v>3.3516596721368398E-2</v>
      </c>
      <c r="F1832" s="10" t="str">
        <f>"RTL9"</f>
        <v>RTL9</v>
      </c>
      <c r="G1832" s="10" t="str">
        <f t="shared" ref="G1832:G1839" si="70">"protein_coding"</f>
        <v>protein_coding</v>
      </c>
      <c r="J1832" s="14"/>
    </row>
    <row r="1833" spans="1:10" x14ac:dyDescent="0.2">
      <c r="A1833" s="10" t="str">
        <f>"ENSG00000077264.15"</f>
        <v>ENSG00000077264.15</v>
      </c>
      <c r="B1833" s="10">
        <v>-1.81588230129533</v>
      </c>
      <c r="C1833" s="10">
        <v>-1.2508820211129299</v>
      </c>
      <c r="D1833" s="10">
        <v>5.3949199762563502</v>
      </c>
      <c r="E1833" s="10">
        <v>4.8333451987466601E-2</v>
      </c>
      <c r="F1833" s="10" t="str">
        <f>"PAK3"</f>
        <v>PAK3</v>
      </c>
      <c r="G1833" s="10" t="str">
        <f t="shared" si="70"/>
        <v>protein_coding</v>
      </c>
      <c r="J1833" s="14"/>
    </row>
    <row r="1834" spans="1:10" x14ac:dyDescent="0.2">
      <c r="A1834" s="10" t="str">
        <f>"ENSG00000126016.15"</f>
        <v>ENSG00000126016.15</v>
      </c>
      <c r="B1834" s="10">
        <v>-2.06479299664004</v>
      </c>
      <c r="C1834" s="10">
        <v>1.7490809537985501</v>
      </c>
      <c r="D1834" s="10">
        <v>16.325805533695</v>
      </c>
      <c r="E1834" s="10">
        <v>3.6386856082296498E-3</v>
      </c>
      <c r="F1834" s="10" t="str">
        <f>"AMOT"</f>
        <v>AMOT</v>
      </c>
      <c r="G1834" s="10" t="str">
        <f t="shared" si="70"/>
        <v>protein_coding</v>
      </c>
      <c r="J1834" s="14"/>
    </row>
    <row r="1835" spans="1:10" x14ac:dyDescent="0.2">
      <c r="A1835" s="10" t="str">
        <f>"ENSG00000174460.4"</f>
        <v>ENSG00000174460.4</v>
      </c>
      <c r="B1835" s="10">
        <v>-1.42936479470428</v>
      </c>
      <c r="C1835" s="10">
        <v>1.17781419083407</v>
      </c>
      <c r="D1835" s="10">
        <v>11.2021413124346</v>
      </c>
      <c r="E1835" s="10">
        <v>9.9478761902174005E-3</v>
      </c>
      <c r="F1835" s="10" t="str">
        <f>"ZCCHC12"</f>
        <v>ZCCHC12</v>
      </c>
      <c r="G1835" s="10" t="str">
        <f t="shared" si="70"/>
        <v>protein_coding</v>
      </c>
      <c r="J1835" s="14"/>
    </row>
    <row r="1836" spans="1:10" x14ac:dyDescent="0.2">
      <c r="A1836" s="10" t="str">
        <f>"ENSG00000171155.8"</f>
        <v>ENSG00000171155.8</v>
      </c>
      <c r="B1836" s="10">
        <v>1.04471214232568</v>
      </c>
      <c r="C1836" s="10">
        <v>4.4447561002605003</v>
      </c>
      <c r="D1836" s="10">
        <v>11.1440714644565</v>
      </c>
      <c r="E1836" s="10">
        <v>1.0078048017413001E-2</v>
      </c>
      <c r="F1836" s="10" t="str">
        <f>"C1GALT1C1"</f>
        <v>C1GALT1C1</v>
      </c>
      <c r="G1836" s="10" t="str">
        <f t="shared" si="70"/>
        <v>protein_coding</v>
      </c>
      <c r="J1836" s="14"/>
    </row>
    <row r="1837" spans="1:10" x14ac:dyDescent="0.2">
      <c r="A1837" s="10" t="str">
        <f>"ENSG00000171388.12"</f>
        <v>ENSG00000171388.12</v>
      </c>
      <c r="B1837" s="10">
        <v>-1.63395406708903</v>
      </c>
      <c r="C1837" s="10">
        <v>-0.47762260547477098</v>
      </c>
      <c r="D1837" s="10">
        <v>13.757365284691</v>
      </c>
      <c r="E1837" s="10">
        <v>5.6649080438462797E-3</v>
      </c>
      <c r="F1837" s="10" t="str">
        <f>"APLN"</f>
        <v>APLN</v>
      </c>
      <c r="G1837" s="10" t="str">
        <f t="shared" si="70"/>
        <v>protein_coding</v>
      </c>
      <c r="J1837" s="14"/>
    </row>
    <row r="1838" spans="1:10" x14ac:dyDescent="0.2">
      <c r="A1838" s="10" t="str">
        <f>"ENSG00000122121.11"</f>
        <v>ENSG00000122121.11</v>
      </c>
      <c r="B1838" s="10">
        <v>2.3306720102136298</v>
      </c>
      <c r="C1838" s="10">
        <v>3.0007833369483099</v>
      </c>
      <c r="D1838" s="10">
        <v>86.4691135006629</v>
      </c>
      <c r="E1838" s="13">
        <v>1.1983936501293799E-5</v>
      </c>
      <c r="F1838" s="10" t="str">
        <f>"XPNPEP2"</f>
        <v>XPNPEP2</v>
      </c>
      <c r="G1838" s="10" t="str">
        <f t="shared" si="70"/>
        <v>protein_coding</v>
      </c>
      <c r="J1838" s="14"/>
    </row>
    <row r="1839" spans="1:10" x14ac:dyDescent="0.2">
      <c r="A1839" s="10" t="str">
        <f>"ENSG00000147255.19"</f>
        <v>ENSG00000147255.19</v>
      </c>
      <c r="B1839" s="10">
        <v>1.96617799270204</v>
      </c>
      <c r="C1839" s="10">
        <v>6.9433241974013198</v>
      </c>
      <c r="D1839" s="10">
        <v>58.934403747152203</v>
      </c>
      <c r="E1839" s="13">
        <v>5.4903099654110003E-5</v>
      </c>
      <c r="F1839" s="10" t="str">
        <f>"IGSF1"</f>
        <v>IGSF1</v>
      </c>
      <c r="G1839" s="10" t="str">
        <f t="shared" si="70"/>
        <v>protein_coding</v>
      </c>
      <c r="J1839" s="14"/>
    </row>
    <row r="1840" spans="1:10" x14ac:dyDescent="0.2">
      <c r="A1840" s="10" t="str">
        <f>"ENSG00000213468.6"</f>
        <v>ENSG00000213468.6</v>
      </c>
      <c r="B1840" s="10">
        <v>1.1300542551155801</v>
      </c>
      <c r="C1840" s="10">
        <v>1.86024864752717</v>
      </c>
      <c r="D1840" s="10">
        <v>8.3789193884500808</v>
      </c>
      <c r="E1840" s="10">
        <v>1.9796626478613698E-2</v>
      </c>
      <c r="F1840" s="10" t="str">
        <f>"FIRRE"</f>
        <v>FIRRE</v>
      </c>
      <c r="G1840" s="10" t="str">
        <f>"processed_transcript"</f>
        <v>processed_transcript</v>
      </c>
      <c r="J1840" s="14"/>
    </row>
    <row r="1841" spans="1:10" x14ac:dyDescent="0.2">
      <c r="A1841" s="10" t="str">
        <f>"ENSG00000076716.9"</f>
        <v>ENSG00000076716.9</v>
      </c>
      <c r="B1841" s="10">
        <v>-1.56636671731467</v>
      </c>
      <c r="C1841" s="10">
        <v>2.9672627763034201</v>
      </c>
      <c r="D1841" s="10">
        <v>5.8945093170558502</v>
      </c>
      <c r="E1841" s="10">
        <v>4.0981459831865498E-2</v>
      </c>
      <c r="F1841" s="10" t="str">
        <f>"GPC4"</f>
        <v>GPC4</v>
      </c>
      <c r="G1841" s="10" t="str">
        <f>"protein_coding"</f>
        <v>protein_coding</v>
      </c>
      <c r="J1841" s="14"/>
    </row>
    <row r="1842" spans="1:10" x14ac:dyDescent="0.2">
      <c r="A1842" s="10" t="str">
        <f>"ENSG00000236091.1"</f>
        <v>ENSG00000236091.1</v>
      </c>
      <c r="B1842" s="10">
        <v>2.7238634246370799</v>
      </c>
      <c r="C1842" s="10">
        <v>-1.9771433073893201</v>
      </c>
      <c r="D1842" s="10">
        <v>9.1723742144766494</v>
      </c>
      <c r="E1842" s="10">
        <v>1.6004111073616899E-2</v>
      </c>
      <c r="F1842" s="10" t="str">
        <f>"LINC02243"</f>
        <v>LINC02243</v>
      </c>
      <c r="G1842" s="10" t="str">
        <f>"lincRNA"</f>
        <v>lincRNA</v>
      </c>
      <c r="J1842" s="14"/>
    </row>
    <row r="1843" spans="1:10" x14ac:dyDescent="0.2">
      <c r="A1843" s="10" t="str">
        <f>"ENSG00000196972.9"</f>
        <v>ENSG00000196972.9</v>
      </c>
      <c r="B1843" s="10">
        <v>-1.6179567342307</v>
      </c>
      <c r="C1843" s="10">
        <v>-0.111440597506879</v>
      </c>
      <c r="D1843" s="10">
        <v>7.0427200298787502</v>
      </c>
      <c r="E1843" s="10">
        <v>2.8773475153004099E-2</v>
      </c>
      <c r="F1843" s="10" t="str">
        <f>"SMIM10L2B"</f>
        <v>SMIM10L2B</v>
      </c>
      <c r="G1843" s="10" t="str">
        <f>"protein_coding"</f>
        <v>protein_coding</v>
      </c>
      <c r="J1843" s="14"/>
    </row>
    <row r="1844" spans="1:10" x14ac:dyDescent="0.2">
      <c r="A1844" s="10" t="str">
        <f>"ENSG00000129682.16"</f>
        <v>ENSG00000129682.16</v>
      </c>
      <c r="B1844" s="10">
        <v>-1.5102760672655999</v>
      </c>
      <c r="C1844" s="10">
        <v>-0.62433624299925505</v>
      </c>
      <c r="D1844" s="10">
        <v>5.4354808364351896</v>
      </c>
      <c r="E1844" s="10">
        <v>4.7676976169973399E-2</v>
      </c>
      <c r="F1844" s="10" t="str">
        <f>"FGF13"</f>
        <v>FGF13</v>
      </c>
      <c r="G1844" s="10" t="str">
        <f>"protein_coding"</f>
        <v>protein_coding</v>
      </c>
      <c r="J1844" s="14"/>
    </row>
    <row r="1845" spans="1:10" x14ac:dyDescent="0.2">
      <c r="A1845" s="10" t="str">
        <f>"ENSG00000234696.1"</f>
        <v>ENSG00000234696.1</v>
      </c>
      <c r="B1845" s="10">
        <v>-2.87153501709947</v>
      </c>
      <c r="C1845" s="10">
        <v>-1.7648851602264799</v>
      </c>
      <c r="D1845" s="10">
        <v>9.0158119890585002</v>
      </c>
      <c r="E1845" s="10">
        <v>1.6765172875697499E-2</v>
      </c>
      <c r="F1845" s="10" t="str">
        <f>"GPR50-AS1"</f>
        <v>GPR50-AS1</v>
      </c>
      <c r="G1845" s="10" t="str">
        <f>"antisense"</f>
        <v>antisense</v>
      </c>
      <c r="J1845" s="14"/>
    </row>
    <row r="1846" spans="1:10" x14ac:dyDescent="0.2">
      <c r="A1846" s="10" t="str">
        <f>"ENSG00000102195.9"</f>
        <v>ENSG00000102195.9</v>
      </c>
      <c r="B1846" s="10">
        <v>-2.0643771909173401</v>
      </c>
      <c r="C1846" s="10">
        <v>2.5790485902201499</v>
      </c>
      <c r="D1846" s="10">
        <v>5.4231912290142299</v>
      </c>
      <c r="E1846" s="10">
        <v>4.7874678487626297E-2</v>
      </c>
      <c r="F1846" s="10" t="str">
        <f>"GPR50"</f>
        <v>GPR50</v>
      </c>
      <c r="G1846" s="10" t="str">
        <f>"protein_coding"</f>
        <v>protein_coding</v>
      </c>
      <c r="J1846" s="14"/>
    </row>
    <row r="1847" spans="1:10" x14ac:dyDescent="0.2">
      <c r="A1847" s="10" t="str">
        <f>"ENSG00000269993.1"</f>
        <v>ENSG00000269993.1</v>
      </c>
      <c r="B1847" s="10">
        <v>-2.2085604505746201</v>
      </c>
      <c r="C1847" s="10">
        <v>0.17318820219518899</v>
      </c>
      <c r="D1847" s="10">
        <v>8.3757382945039591</v>
      </c>
      <c r="E1847" s="10">
        <v>1.9813428244000099E-2</v>
      </c>
      <c r="F1847" s="10" t="str">
        <f>"KC877982.1"</f>
        <v>KC877982.1</v>
      </c>
      <c r="G1847" s="10" t="str">
        <f>"lincRNA"</f>
        <v>lincRNA</v>
      </c>
      <c r="J1847" s="14"/>
    </row>
    <row r="1848" spans="1:10" x14ac:dyDescent="0.2">
      <c r="A1848" s="10" t="str">
        <f>"ENSG00000067840.12"</f>
        <v>ENSG00000067840.12</v>
      </c>
      <c r="B1848" s="10">
        <v>-1.81408983931443</v>
      </c>
      <c r="C1848" s="10">
        <v>0.47511034247424999</v>
      </c>
      <c r="D1848" s="10">
        <v>7.9299621757374696</v>
      </c>
      <c r="E1848" s="10">
        <v>2.2356776081816701E-2</v>
      </c>
      <c r="F1848" s="10" t="str">
        <f>"PDZD4"</f>
        <v>PDZD4</v>
      </c>
      <c r="G1848" s="10" t="str">
        <f>"protein_coding"</f>
        <v>protein_coding</v>
      </c>
      <c r="J1848" s="14"/>
    </row>
    <row r="1849" spans="1:10" x14ac:dyDescent="0.2">
      <c r="A1849" s="10" t="str">
        <f>"ENSG00000160211.17"</f>
        <v>ENSG00000160211.17</v>
      </c>
      <c r="B1849" s="10">
        <v>-1.17280072376753</v>
      </c>
      <c r="C1849" s="10">
        <v>6.8017296617707199</v>
      </c>
      <c r="D1849" s="10">
        <v>9.5424609346784894</v>
      </c>
      <c r="E1849" s="10">
        <v>1.46882802151E-2</v>
      </c>
      <c r="F1849" s="10" t="str">
        <f>"G6PD"</f>
        <v>G6PD</v>
      </c>
      <c r="G1849" s="10" t="str">
        <f>"protein_coding"</f>
        <v>protein_coding</v>
      </c>
      <c r="J1849" s="14"/>
    </row>
    <row r="1850" spans="1:10" x14ac:dyDescent="0.2">
      <c r="A1850" s="10" t="str">
        <f>"ENSG00000275882.1"</f>
        <v>ENSG00000275882.1</v>
      </c>
      <c r="B1850" s="10">
        <v>1.3116325726295099</v>
      </c>
      <c r="C1850" s="10">
        <v>0.75961976527997699</v>
      </c>
      <c r="D1850" s="10">
        <v>6.4496822655179402</v>
      </c>
      <c r="E1850" s="10">
        <v>3.4396705128784698E-2</v>
      </c>
      <c r="F1850" s="10" t="str">
        <f>"IKBKGP1"</f>
        <v>IKBKGP1</v>
      </c>
      <c r="G1850" s="10" t="str">
        <f>"unprocessed_pseudogene"</f>
        <v>unprocessed_pseudogene</v>
      </c>
      <c r="J1850" s="14"/>
    </row>
    <row r="1851" spans="1:10" x14ac:dyDescent="0.2">
      <c r="A1851" s="10" t="str">
        <f>"ENSG00000169093.16_PAR_Y"</f>
        <v>ENSG00000169093.16_PAR_Y</v>
      </c>
      <c r="B1851" s="10">
        <v>2.7531045000680301</v>
      </c>
      <c r="C1851" s="10">
        <v>1.2814907340074699</v>
      </c>
      <c r="D1851" s="10">
        <v>6.9503601281182901</v>
      </c>
      <c r="E1851" s="10">
        <v>2.9568418490880499E-2</v>
      </c>
      <c r="F1851" s="10" t="str">
        <f>"ASMTL"</f>
        <v>ASMTL</v>
      </c>
      <c r="G1851" s="10" t="str">
        <f>"protein_coding"</f>
        <v>protein_coding</v>
      </c>
      <c r="J1851" s="14"/>
    </row>
    <row r="1852" spans="1:10" x14ac:dyDescent="0.2">
      <c r="A1852" s="10" t="str">
        <f>"ENSG00000182162.11_PAR_Y"</f>
        <v>ENSG00000182162.11_PAR_Y</v>
      </c>
      <c r="B1852" s="10">
        <v>3.28336214278163</v>
      </c>
      <c r="C1852" s="10">
        <v>-2.13952326894516</v>
      </c>
      <c r="D1852" s="10">
        <v>8.2574322061450491</v>
      </c>
      <c r="E1852" s="10">
        <v>2.0451248840448501E-2</v>
      </c>
      <c r="F1852" s="10" t="str">
        <f>"P2RY8"</f>
        <v>P2RY8</v>
      </c>
      <c r="G1852" s="10" t="str">
        <f>"protein_coding"</f>
        <v>protein_coding</v>
      </c>
      <c r="J1852" s="14"/>
    </row>
    <row r="1853" spans="1:10" x14ac:dyDescent="0.2">
      <c r="A1853" s="10" t="str">
        <f>"ENSG00000197976.12_PAR_Y"</f>
        <v>ENSG00000197976.12_PAR_Y</v>
      </c>
      <c r="B1853" s="10">
        <v>-1.9785477826765501</v>
      </c>
      <c r="C1853" s="10">
        <v>1.5040528404559199</v>
      </c>
      <c r="D1853" s="10">
        <v>6.5347490478340697</v>
      </c>
      <c r="E1853" s="10">
        <v>3.3509560173704198E-2</v>
      </c>
      <c r="F1853" s="10" t="str">
        <f>"AKAP17A"</f>
        <v>AKAP17A</v>
      </c>
      <c r="G1853" s="10" t="str">
        <f>"protein_coding"</f>
        <v>protein_coding</v>
      </c>
      <c r="J1853" s="14"/>
    </row>
    <row r="1854" spans="1:10" x14ac:dyDescent="0.2">
      <c r="A1854" s="10" t="str">
        <f>"ENSG00000231535.6"</f>
        <v>ENSG00000231535.6</v>
      </c>
      <c r="B1854" s="10">
        <v>1.45734179793731</v>
      </c>
      <c r="C1854" s="10">
        <v>-1.11367358085135</v>
      </c>
      <c r="D1854" s="10">
        <v>6.7885245717105196</v>
      </c>
      <c r="E1854" s="10">
        <v>3.07131982575444E-2</v>
      </c>
      <c r="F1854" s="10" t="str">
        <f>"LINC00278"</f>
        <v>LINC00278</v>
      </c>
      <c r="G1854" s="10" t="str">
        <f>"lincRNA"</f>
        <v>lincRNA</v>
      </c>
      <c r="J1854" s="14"/>
    </row>
    <row r="1855" spans="1:10" x14ac:dyDescent="0.2">
      <c r="A1855" s="10" t="str">
        <f>"ENSG00000012817.15"</f>
        <v>ENSG00000012817.15</v>
      </c>
      <c r="B1855" s="10">
        <v>1.2288119712064201</v>
      </c>
      <c r="C1855" s="10">
        <v>5.3877493217214898</v>
      </c>
      <c r="D1855" s="10">
        <v>33.484168829364101</v>
      </c>
      <c r="E1855" s="10">
        <v>3.8834606756687801E-4</v>
      </c>
      <c r="F1855" s="10" t="str">
        <f>"KDM5D"</f>
        <v>KDM5D</v>
      </c>
      <c r="G1855" s="10" t="str">
        <f>"protein_coding"</f>
        <v>protein_coding</v>
      </c>
      <c r="J1855" s="1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4"/>
  <sheetViews>
    <sheetView workbookViewId="0">
      <selection activeCell="C30" sqref="C30"/>
    </sheetView>
  </sheetViews>
  <sheetFormatPr defaultRowHeight="14.25" x14ac:dyDescent="0.2"/>
  <cols>
    <col min="1" max="1" width="21.25" style="12" bestFit="1" customWidth="1"/>
    <col min="2" max="2" width="14.75" style="12" bestFit="1" customWidth="1"/>
    <col min="3" max="3" width="52.875" style="12" customWidth="1"/>
    <col min="4" max="4" width="46.625" style="12" bestFit="1" customWidth="1"/>
    <col min="5" max="5" width="42.75" style="12" bestFit="1" customWidth="1"/>
    <col min="6" max="6" width="33.875" style="12" bestFit="1" customWidth="1"/>
    <col min="7" max="16384" width="9" style="12"/>
  </cols>
  <sheetData>
    <row r="1" spans="1:6" ht="15" x14ac:dyDescent="0.2">
      <c r="A1" s="7" t="s">
        <v>0</v>
      </c>
      <c r="B1" s="7" t="s">
        <v>1</v>
      </c>
      <c r="C1" s="7" t="s">
        <v>1288</v>
      </c>
      <c r="D1" s="7" t="s">
        <v>1289</v>
      </c>
      <c r="E1" s="11" t="s">
        <v>3718</v>
      </c>
      <c r="F1" s="11" t="s">
        <v>3719</v>
      </c>
    </row>
    <row r="2" spans="1:6" x14ac:dyDescent="0.2">
      <c r="A2" s="8" t="s">
        <v>748</v>
      </c>
      <c r="B2" s="8" t="s">
        <v>749</v>
      </c>
      <c r="C2" s="8">
        <v>2.0381557573053199</v>
      </c>
      <c r="D2" s="8">
        <v>3.41381674127288E-3</v>
      </c>
      <c r="E2" s="10">
        <v>-1.3292345611807099</v>
      </c>
      <c r="F2" s="13">
        <v>8.0499978782785505E-7</v>
      </c>
    </row>
    <row r="3" spans="1:6" x14ac:dyDescent="0.2">
      <c r="A3" s="8" t="s">
        <v>510</v>
      </c>
      <c r="B3" s="8" t="s">
        <v>511</v>
      </c>
      <c r="C3" s="8">
        <v>1.42325558626388</v>
      </c>
      <c r="D3" s="8">
        <v>1.04220308608996E-2</v>
      </c>
      <c r="E3" s="10">
        <v>-1.0506975888388199</v>
      </c>
      <c r="F3" s="10">
        <v>6.3778649636462496E-4</v>
      </c>
    </row>
    <row r="4" spans="1:6" x14ac:dyDescent="0.2">
      <c r="A4" s="8" t="s">
        <v>508</v>
      </c>
      <c r="B4" s="8" t="s">
        <v>509</v>
      </c>
      <c r="C4" s="8">
        <v>1.7273608905045901</v>
      </c>
      <c r="D4" s="8">
        <v>3.03291651238637E-3</v>
      </c>
      <c r="E4" s="10">
        <v>-2.2686260531168898</v>
      </c>
      <c r="F4" s="13">
        <v>1.3304462595765901E-10</v>
      </c>
    </row>
    <row r="5" spans="1:6" x14ac:dyDescent="0.2">
      <c r="A5" s="8" t="s">
        <v>478</v>
      </c>
      <c r="B5" s="8" t="s">
        <v>479</v>
      </c>
      <c r="C5" s="8">
        <v>2.1390898199166899</v>
      </c>
      <c r="D5" s="8">
        <v>2.7397753911154898E-2</v>
      </c>
      <c r="E5" s="10">
        <v>-2.3773369731396699</v>
      </c>
      <c r="F5" s="13">
        <v>6.3438686871280803E-9</v>
      </c>
    </row>
    <row r="6" spans="1:6" x14ac:dyDescent="0.2">
      <c r="A6" s="8" t="s">
        <v>746</v>
      </c>
      <c r="B6" s="8" t="s">
        <v>747</v>
      </c>
      <c r="C6" s="8">
        <v>-1.1969741439624499</v>
      </c>
      <c r="D6" s="8">
        <v>4.0931729742651003E-2</v>
      </c>
      <c r="E6" s="10">
        <v>3.5906006394575098</v>
      </c>
      <c r="F6" s="13">
        <v>1.9234794304460199E-11</v>
      </c>
    </row>
    <row r="7" spans="1:6" x14ac:dyDescent="0.2">
      <c r="A7" s="8" t="s">
        <v>1052</v>
      </c>
      <c r="B7" s="8" t="s">
        <v>1053</v>
      </c>
      <c r="C7" s="8">
        <v>1.1724756561404399</v>
      </c>
      <c r="D7" s="8">
        <v>2.7646410123262799E-2</v>
      </c>
      <c r="E7" s="10">
        <v>1.77713577934863</v>
      </c>
      <c r="F7" s="13">
        <v>2.2058296696503999E-5</v>
      </c>
    </row>
    <row r="8" spans="1:6" x14ac:dyDescent="0.2">
      <c r="A8" s="8" t="s">
        <v>1082</v>
      </c>
      <c r="B8" s="8" t="s">
        <v>1083</v>
      </c>
      <c r="C8" s="8">
        <v>-3.6338722052331698</v>
      </c>
      <c r="D8" s="8">
        <v>5.97479079163129E-4</v>
      </c>
      <c r="E8" s="10">
        <v>4.1246963114334898</v>
      </c>
      <c r="F8" s="13">
        <v>3.03135513419981E-6</v>
      </c>
    </row>
    <row r="9" spans="1:6" x14ac:dyDescent="0.2">
      <c r="A9" s="8" t="s">
        <v>1142</v>
      </c>
      <c r="B9" s="8" t="s">
        <v>1143</v>
      </c>
      <c r="C9" s="8">
        <v>-1.2268558861015899</v>
      </c>
      <c r="D9" s="8">
        <v>2.3914241922026201E-2</v>
      </c>
      <c r="E9" s="10">
        <v>7.7899795098625804</v>
      </c>
      <c r="F9" s="13">
        <v>1.0906007586439501E-22</v>
      </c>
    </row>
    <row r="10" spans="1:6" x14ac:dyDescent="0.2">
      <c r="A10" s="8" t="s">
        <v>1156</v>
      </c>
      <c r="B10" s="8" t="s">
        <v>1157</v>
      </c>
      <c r="C10" s="8">
        <v>-1.89960136542373</v>
      </c>
      <c r="D10" s="8">
        <v>1.3483101748531999E-2</v>
      </c>
      <c r="E10" s="10">
        <v>8.5546221482563904</v>
      </c>
      <c r="F10" s="13">
        <v>1.4472844779138499E-15</v>
      </c>
    </row>
    <row r="11" spans="1:6" x14ac:dyDescent="0.2">
      <c r="A11" s="8" t="s">
        <v>1136</v>
      </c>
      <c r="B11" s="8" t="s">
        <v>1137</v>
      </c>
      <c r="C11" s="8">
        <v>-1.6677585250449101</v>
      </c>
      <c r="D11" s="8">
        <v>2.4178740032597699E-2</v>
      </c>
      <c r="E11" s="10">
        <v>1.88660285762917</v>
      </c>
      <c r="F11" s="10">
        <v>1.5598365717474499E-3</v>
      </c>
    </row>
    <row r="12" spans="1:6" x14ac:dyDescent="0.2">
      <c r="A12" s="8" t="s">
        <v>348</v>
      </c>
      <c r="B12" s="8" t="s">
        <v>349</v>
      </c>
      <c r="C12" s="8">
        <v>-1.33234042392515</v>
      </c>
      <c r="D12" s="8">
        <v>2.6181472100722102E-2</v>
      </c>
      <c r="E12" s="10">
        <v>3.26654022778362</v>
      </c>
      <c r="F12" s="10">
        <v>2.4964747757798798E-4</v>
      </c>
    </row>
    <row r="13" spans="1:6" x14ac:dyDescent="0.2">
      <c r="A13" s="8" t="s">
        <v>350</v>
      </c>
      <c r="B13" s="8" t="s">
        <v>351</v>
      </c>
      <c r="C13" s="8">
        <v>-1.42565086905648</v>
      </c>
      <c r="D13" s="8">
        <v>2.0914317265021999E-3</v>
      </c>
      <c r="E13" s="10">
        <v>2.9355857297663999</v>
      </c>
      <c r="F13" s="13">
        <v>8.0208248357677798E-7</v>
      </c>
    </row>
    <row r="14" spans="1:6" x14ac:dyDescent="0.2">
      <c r="A14" s="8" t="s">
        <v>986</v>
      </c>
      <c r="B14" s="8" t="s">
        <v>987</v>
      </c>
      <c r="C14" s="8">
        <v>-1.53600963549161</v>
      </c>
      <c r="D14" s="8">
        <v>6.2999478803735199E-3</v>
      </c>
      <c r="E14" s="10">
        <v>2.5030099073464398</v>
      </c>
      <c r="F14" s="10">
        <v>3.00665216979703E-3</v>
      </c>
    </row>
    <row r="15" spans="1:6" x14ac:dyDescent="0.2">
      <c r="A15" s="8" t="s">
        <v>912</v>
      </c>
      <c r="B15" s="8" t="s">
        <v>913</v>
      </c>
      <c r="C15" s="8">
        <v>-1.3494719219562199</v>
      </c>
      <c r="D15" s="8">
        <v>9.4888332054469202E-3</v>
      </c>
      <c r="E15" s="10">
        <v>1.3752629134269401</v>
      </c>
      <c r="F15" s="10">
        <v>4.5800463550758098E-3</v>
      </c>
    </row>
    <row r="16" spans="1:6" x14ac:dyDescent="0.2">
      <c r="A16" s="8" t="s">
        <v>172</v>
      </c>
      <c r="B16" s="8" t="s">
        <v>173</v>
      </c>
      <c r="C16" s="8">
        <v>1.04921458834489</v>
      </c>
      <c r="D16" s="8">
        <v>8.5725740357769694E-3</v>
      </c>
      <c r="E16" s="10">
        <v>-1.1338012749281401</v>
      </c>
      <c r="F16" s="10">
        <v>1.27367684086819E-3</v>
      </c>
    </row>
    <row r="17" spans="1:6" x14ac:dyDescent="0.2">
      <c r="A17" s="8" t="s">
        <v>888</v>
      </c>
      <c r="B17" s="8" t="s">
        <v>889</v>
      </c>
      <c r="C17" s="8">
        <v>-1.2969762943579899</v>
      </c>
      <c r="D17" s="8">
        <v>1.51750322217294E-2</v>
      </c>
      <c r="E17" s="10">
        <v>1.76544316858839</v>
      </c>
      <c r="F17" s="10">
        <v>2.6711523004551E-3</v>
      </c>
    </row>
    <row r="18" spans="1:6" x14ac:dyDescent="0.2">
      <c r="A18" s="8" t="s">
        <v>336</v>
      </c>
      <c r="B18" s="8" t="s">
        <v>337</v>
      </c>
      <c r="C18" s="8">
        <v>-1.40800216768872</v>
      </c>
      <c r="D18" s="8">
        <v>1.07130422611173E-2</v>
      </c>
      <c r="E18" s="10">
        <v>5.1531394401674202</v>
      </c>
      <c r="F18" s="13">
        <v>6.5263379449392102E-5</v>
      </c>
    </row>
    <row r="19" spans="1:6" x14ac:dyDescent="0.2">
      <c r="A19" s="8" t="s">
        <v>1070</v>
      </c>
      <c r="B19" s="8" t="s">
        <v>1071</v>
      </c>
      <c r="C19" s="8">
        <v>-1.37010253561929</v>
      </c>
      <c r="D19" s="8">
        <v>4.31111229806709E-2</v>
      </c>
      <c r="E19" s="10">
        <v>2.9730002967899898</v>
      </c>
      <c r="F19" s="10">
        <v>6.7876832333435295E-4</v>
      </c>
    </row>
    <row r="20" spans="1:6" x14ac:dyDescent="0.2">
      <c r="A20" s="8" t="s">
        <v>1032</v>
      </c>
      <c r="B20" s="8" t="s">
        <v>1033</v>
      </c>
      <c r="C20" s="8">
        <v>1.2361156170004901</v>
      </c>
      <c r="D20" s="8">
        <v>1.4934485122196301E-2</v>
      </c>
      <c r="E20" s="10">
        <v>-1.75442851706787</v>
      </c>
      <c r="F20" s="13">
        <v>5.7976663434622901E-8</v>
      </c>
    </row>
    <row r="21" spans="1:6" x14ac:dyDescent="0.2">
      <c r="A21" s="8" t="s">
        <v>186</v>
      </c>
      <c r="B21" s="8" t="s">
        <v>187</v>
      </c>
      <c r="C21" s="8">
        <v>-1.1518400657802099</v>
      </c>
      <c r="D21" s="8">
        <v>2.8046760574087998E-3</v>
      </c>
      <c r="E21" s="10">
        <v>1.62551018636179</v>
      </c>
      <c r="F21" s="13">
        <v>6.2469065137711399E-7</v>
      </c>
    </row>
    <row r="22" spans="1:6" x14ac:dyDescent="0.2">
      <c r="A22" s="8" t="s">
        <v>948</v>
      </c>
      <c r="B22" s="8" t="s">
        <v>949</v>
      </c>
      <c r="C22" s="8">
        <v>-2.0136220992317102</v>
      </c>
      <c r="D22" s="8">
        <v>7.8104960476901297E-3</v>
      </c>
      <c r="E22" s="10">
        <v>-2.1541801479589702</v>
      </c>
      <c r="F22" s="10">
        <v>5.0559778413053601E-3</v>
      </c>
    </row>
    <row r="23" spans="1:6" x14ac:dyDescent="0.2">
      <c r="A23" s="8" t="s">
        <v>352</v>
      </c>
      <c r="B23" s="8" t="s">
        <v>353</v>
      </c>
      <c r="C23" s="8">
        <v>-2.2414003314252202</v>
      </c>
      <c r="D23" s="8">
        <v>4.1026812641955401E-2</v>
      </c>
      <c r="E23" s="10">
        <v>1.8142225825670699</v>
      </c>
      <c r="F23" s="10">
        <v>1.8206827606774801E-3</v>
      </c>
    </row>
    <row r="24" spans="1:6" x14ac:dyDescent="0.2">
      <c r="A24" s="8" t="s">
        <v>534</v>
      </c>
      <c r="B24" s="8" t="s">
        <v>535</v>
      </c>
      <c r="C24" s="8">
        <v>1.6567772835707799</v>
      </c>
      <c r="D24" s="8">
        <v>1.04680540408839E-3</v>
      </c>
      <c r="E24" s="10">
        <v>1.0823086307001999</v>
      </c>
      <c r="F24" s="10">
        <v>9.2682950323693305E-3</v>
      </c>
    </row>
    <row r="25" spans="1:6" x14ac:dyDescent="0.2">
      <c r="A25" s="8" t="s">
        <v>650</v>
      </c>
      <c r="B25" s="8" t="s">
        <v>651</v>
      </c>
      <c r="C25" s="8">
        <v>-1.5462790201127601</v>
      </c>
      <c r="D25" s="8">
        <v>4.0378274449447603E-2</v>
      </c>
      <c r="E25" s="10">
        <v>-3.53873561047397</v>
      </c>
      <c r="F25" s="10">
        <v>1.72877847362112E-3</v>
      </c>
    </row>
    <row r="26" spans="1:6" x14ac:dyDescent="0.2">
      <c r="A26" s="8" t="s">
        <v>750</v>
      </c>
      <c r="B26" s="8" t="s">
        <v>751</v>
      </c>
      <c r="C26" s="8">
        <v>-2.5338862707304499</v>
      </c>
      <c r="D26" s="8">
        <v>6.10315284136976E-3</v>
      </c>
      <c r="E26" s="10">
        <v>3.6313331637225801</v>
      </c>
      <c r="F26" s="13">
        <v>6.1476777160720397E-24</v>
      </c>
    </row>
    <row r="27" spans="1:6" x14ac:dyDescent="0.2">
      <c r="A27" s="8" t="s">
        <v>758</v>
      </c>
      <c r="B27" s="8" t="s">
        <v>759</v>
      </c>
      <c r="C27" s="8">
        <v>1.0493588183842799</v>
      </c>
      <c r="D27" s="8">
        <v>1.43876333152079E-2</v>
      </c>
      <c r="E27" s="10">
        <v>2.50722293887444</v>
      </c>
      <c r="F27" s="13">
        <v>1.4150874277057001E-9</v>
      </c>
    </row>
    <row r="28" spans="1:6" x14ac:dyDescent="0.2">
      <c r="A28" s="8" t="s">
        <v>924</v>
      </c>
      <c r="B28" s="8" t="s">
        <v>925</v>
      </c>
      <c r="C28" s="8">
        <v>-1.48831538755493</v>
      </c>
      <c r="D28" s="8">
        <v>4.54445681764944E-2</v>
      </c>
      <c r="E28" s="10">
        <v>3.2892623936647798</v>
      </c>
      <c r="F28" s="13">
        <v>6.0466684554565199E-24</v>
      </c>
    </row>
    <row r="29" spans="1:6" x14ac:dyDescent="0.2">
      <c r="A29" s="8" t="s">
        <v>874</v>
      </c>
      <c r="B29" s="8" t="s">
        <v>875</v>
      </c>
      <c r="C29" s="8">
        <v>-1.34068589969632</v>
      </c>
      <c r="D29" s="8">
        <v>4.9801494644638199E-2</v>
      </c>
      <c r="E29" s="10">
        <v>6.86516072696854</v>
      </c>
      <c r="F29" s="10">
        <v>1.0034975809036E-4</v>
      </c>
    </row>
    <row r="30" spans="1:6" x14ac:dyDescent="0.2">
      <c r="A30" s="8" t="s">
        <v>962</v>
      </c>
      <c r="B30" s="8" t="s">
        <v>963</v>
      </c>
      <c r="C30" s="8">
        <v>2.3962804755334499</v>
      </c>
      <c r="D30" s="8">
        <v>1.20526974138832E-2</v>
      </c>
      <c r="E30" s="10">
        <v>-4.1811391279307104</v>
      </c>
      <c r="F30" s="13">
        <v>1.1243620900099201E-12</v>
      </c>
    </row>
    <row r="31" spans="1:6" x14ac:dyDescent="0.2">
      <c r="A31" s="8" t="s">
        <v>960</v>
      </c>
      <c r="B31" s="8" t="s">
        <v>961</v>
      </c>
      <c r="C31" s="8">
        <v>-2.80402509971112</v>
      </c>
      <c r="D31" s="8">
        <v>1.7414628430810101E-2</v>
      </c>
      <c r="E31" s="10">
        <v>7.7830181843066004</v>
      </c>
      <c r="F31" s="13">
        <v>1.6913613416080501E-6</v>
      </c>
    </row>
    <row r="32" spans="1:6" x14ac:dyDescent="0.2">
      <c r="A32" s="8" t="s">
        <v>1102</v>
      </c>
      <c r="B32" s="8" t="s">
        <v>1103</v>
      </c>
      <c r="C32" s="8">
        <v>-2.3247742195241701</v>
      </c>
      <c r="D32" s="8">
        <v>4.0645997782682797E-2</v>
      </c>
      <c r="E32" s="10">
        <v>5.9481311674588397</v>
      </c>
      <c r="F32" s="10">
        <v>3.4647658514316499E-3</v>
      </c>
    </row>
    <row r="33" spans="1:6" x14ac:dyDescent="0.2">
      <c r="A33" s="8" t="s">
        <v>798</v>
      </c>
      <c r="B33" s="8" t="s">
        <v>799</v>
      </c>
      <c r="C33" s="8">
        <v>-1.1125182092726</v>
      </c>
      <c r="D33" s="8">
        <v>9.5531873217878493E-3</v>
      </c>
      <c r="E33" s="10">
        <v>-1.32551369156821</v>
      </c>
      <c r="F33" s="10">
        <v>1.26172287194884E-3</v>
      </c>
    </row>
    <row r="34" spans="1:6" x14ac:dyDescent="0.2">
      <c r="A34" s="8" t="s">
        <v>1056</v>
      </c>
      <c r="B34" s="8" t="s">
        <v>1057</v>
      </c>
      <c r="C34" s="8">
        <v>-1.9639059579262399</v>
      </c>
      <c r="D34" s="8">
        <v>2.0357348369767499E-2</v>
      </c>
      <c r="E34" s="10">
        <v>4.54294880966901</v>
      </c>
      <c r="F34" s="13">
        <v>1.09892367368451E-33</v>
      </c>
    </row>
    <row r="35" spans="1:6" x14ac:dyDescent="0.2">
      <c r="A35" s="8" t="s">
        <v>536</v>
      </c>
      <c r="B35" s="8" t="s">
        <v>537</v>
      </c>
      <c r="C35" s="8">
        <v>-1.0873726871721701</v>
      </c>
      <c r="D35" s="8">
        <v>2.6032557710399501E-2</v>
      </c>
      <c r="E35" s="10">
        <v>-1.1066238495962899</v>
      </c>
      <c r="F35" s="10">
        <v>1.12521800809863E-2</v>
      </c>
    </row>
    <row r="36" spans="1:6" x14ac:dyDescent="0.2">
      <c r="A36" s="8" t="s">
        <v>562</v>
      </c>
      <c r="B36" s="8" t="s">
        <v>563</v>
      </c>
      <c r="C36" s="8">
        <v>-1.2827224074247501</v>
      </c>
      <c r="D36" s="8">
        <v>9.8224112912947397E-3</v>
      </c>
      <c r="E36" s="10">
        <v>2.7460495840692398</v>
      </c>
      <c r="F36" s="13">
        <v>2.6039292428329698E-6</v>
      </c>
    </row>
    <row r="37" spans="1:6" x14ac:dyDescent="0.2">
      <c r="A37" s="8" t="s">
        <v>1064</v>
      </c>
      <c r="B37" s="8" t="s">
        <v>1065</v>
      </c>
      <c r="C37" s="8">
        <v>-1.51319110360648</v>
      </c>
      <c r="D37" s="8">
        <v>1.0912601970479399E-2</v>
      </c>
      <c r="E37" s="10">
        <v>1.7710364296208001</v>
      </c>
      <c r="F37" s="10">
        <v>5.3989719649209897E-4</v>
      </c>
    </row>
    <row r="38" spans="1:6" x14ac:dyDescent="0.2">
      <c r="A38" s="8" t="s">
        <v>526</v>
      </c>
      <c r="B38" s="8" t="s">
        <v>527</v>
      </c>
      <c r="C38" s="8">
        <v>-1.1802848555055101</v>
      </c>
      <c r="D38" s="8">
        <v>2.6160801982954E-2</v>
      </c>
      <c r="E38" s="10">
        <v>2.1596368950962699</v>
      </c>
      <c r="F38" s="13">
        <v>2.8839370883535498E-5</v>
      </c>
    </row>
    <row r="39" spans="1:6" x14ac:dyDescent="0.2">
      <c r="A39" s="8" t="s">
        <v>884</v>
      </c>
      <c r="B39" s="8" t="s">
        <v>885</v>
      </c>
      <c r="C39" s="8">
        <v>1.4654768976096499</v>
      </c>
      <c r="D39" s="8">
        <v>1.0202224553424601E-2</v>
      </c>
      <c r="E39" s="10">
        <v>-1.92023768700836</v>
      </c>
      <c r="F39" s="10">
        <v>4.2820653157560704E-3</v>
      </c>
    </row>
    <row r="40" spans="1:6" x14ac:dyDescent="0.2">
      <c r="A40" s="8" t="s">
        <v>132</v>
      </c>
      <c r="B40" s="8" t="s">
        <v>133</v>
      </c>
      <c r="C40" s="8">
        <v>-2.43994481479919</v>
      </c>
      <c r="D40" s="8">
        <v>3.24271477405298E-3</v>
      </c>
      <c r="E40" s="10">
        <v>5.0201804397443901</v>
      </c>
      <c r="F40" s="13">
        <v>3.9815832964443303E-6</v>
      </c>
    </row>
    <row r="41" spans="1:6" x14ac:dyDescent="0.2">
      <c r="A41" s="8" t="s">
        <v>292</v>
      </c>
      <c r="B41" s="8" t="s">
        <v>293</v>
      </c>
      <c r="C41" s="8">
        <v>-2.6417852929614898</v>
      </c>
      <c r="D41" s="8">
        <v>6.0536185128857599E-4</v>
      </c>
      <c r="E41" s="10">
        <v>7.0654105720494202</v>
      </c>
      <c r="F41" s="13">
        <v>4.9611351133623198E-5</v>
      </c>
    </row>
    <row r="42" spans="1:6" x14ac:dyDescent="0.2">
      <c r="A42" s="8" t="s">
        <v>46</v>
      </c>
      <c r="B42" s="8" t="s">
        <v>47</v>
      </c>
      <c r="C42" s="8">
        <v>2.99033542550037</v>
      </c>
      <c r="D42" s="8">
        <v>2.22308091762442E-2</v>
      </c>
      <c r="E42" s="10">
        <v>-3.72078362271324</v>
      </c>
      <c r="F42" s="10">
        <v>6.2441442299276397E-4</v>
      </c>
    </row>
    <row r="43" spans="1:6" x14ac:dyDescent="0.2">
      <c r="A43" s="8" t="s">
        <v>916</v>
      </c>
      <c r="B43" s="8" t="s">
        <v>917</v>
      </c>
      <c r="C43" s="8">
        <v>-1.17590407880128</v>
      </c>
      <c r="D43" s="8">
        <v>2.6083242682514201E-2</v>
      </c>
      <c r="E43" s="10">
        <v>2.1078648423289099</v>
      </c>
      <c r="F43" s="13">
        <v>7.5236263421455197E-6</v>
      </c>
    </row>
    <row r="44" spans="1:6" x14ac:dyDescent="0.2">
      <c r="A44" s="8" t="s">
        <v>206</v>
      </c>
      <c r="B44" s="8" t="s">
        <v>207</v>
      </c>
      <c r="C44" s="8">
        <v>2.2936546316611</v>
      </c>
      <c r="D44" s="8">
        <v>1.1515226779920101E-3</v>
      </c>
      <c r="E44" s="10">
        <v>-1.91464918361567</v>
      </c>
      <c r="F44" s="10">
        <v>1.4185718363710501E-3</v>
      </c>
    </row>
    <row r="45" spans="1:6" x14ac:dyDescent="0.2">
      <c r="A45" s="8" t="s">
        <v>544</v>
      </c>
      <c r="B45" s="8" t="s">
        <v>545</v>
      </c>
      <c r="C45" s="8">
        <v>-1.7451266060778099</v>
      </c>
      <c r="D45" s="8">
        <v>2.1287071161955801E-2</v>
      </c>
      <c r="E45" s="10">
        <v>1.8704364421889299</v>
      </c>
      <c r="F45" s="10">
        <v>3.3830684752819901E-4</v>
      </c>
    </row>
    <row r="46" spans="1:6" x14ac:dyDescent="0.2">
      <c r="A46" s="8" t="s">
        <v>260</v>
      </c>
      <c r="B46" s="8" t="s">
        <v>261</v>
      </c>
      <c r="C46" s="8">
        <v>1.2949038243134701</v>
      </c>
      <c r="D46" s="8">
        <v>3.0101598169961601E-2</v>
      </c>
      <c r="E46" s="10">
        <v>-1.58255199258024</v>
      </c>
      <c r="F46" s="13">
        <v>8.2192346258892803E-5</v>
      </c>
    </row>
    <row r="47" spans="1:6" x14ac:dyDescent="0.2">
      <c r="A47" s="8" t="s">
        <v>240</v>
      </c>
      <c r="B47" s="8" t="s">
        <v>241</v>
      </c>
      <c r="C47" s="8">
        <v>-2.0941712469141498</v>
      </c>
      <c r="D47" s="8">
        <v>1.57962307442427E-2</v>
      </c>
      <c r="E47" s="10">
        <v>4.01428674552659</v>
      </c>
      <c r="F47" s="13">
        <v>5.9850165503044896E-12</v>
      </c>
    </row>
    <row r="48" spans="1:6" x14ac:dyDescent="0.2">
      <c r="A48" s="8" t="s">
        <v>386</v>
      </c>
      <c r="B48" s="8" t="s">
        <v>387</v>
      </c>
      <c r="C48" s="8">
        <v>-1.4258268294154199</v>
      </c>
      <c r="D48" s="8">
        <v>9.1772002690539596E-3</v>
      </c>
      <c r="E48" s="10">
        <v>2.0512240941787998</v>
      </c>
      <c r="F48" s="10">
        <v>1.47413812481028E-3</v>
      </c>
    </row>
    <row r="49" spans="1:6" x14ac:dyDescent="0.2">
      <c r="A49" s="8" t="s">
        <v>498</v>
      </c>
      <c r="B49" s="8" t="s">
        <v>499</v>
      </c>
      <c r="C49" s="8">
        <v>3.3685441379948702</v>
      </c>
      <c r="D49" s="8">
        <v>2.26112126917886E-4</v>
      </c>
      <c r="E49" s="10">
        <v>-3.8932124071491399</v>
      </c>
      <c r="F49" s="13">
        <v>1.5075881703253E-5</v>
      </c>
    </row>
    <row r="50" spans="1:6" x14ac:dyDescent="0.2">
      <c r="A50" s="8" t="s">
        <v>1004</v>
      </c>
      <c r="B50" s="8" t="s">
        <v>1005</v>
      </c>
      <c r="C50" s="8">
        <v>1.2574557784099401</v>
      </c>
      <c r="D50" s="8">
        <v>4.0029476523935202E-2</v>
      </c>
      <c r="E50" s="10">
        <v>-1.8715131829770599</v>
      </c>
      <c r="F50" s="10">
        <v>2.7702820522808001E-3</v>
      </c>
    </row>
    <row r="51" spans="1:6" x14ac:dyDescent="0.2">
      <c r="A51" s="8" t="s">
        <v>950</v>
      </c>
      <c r="B51" s="8" t="s">
        <v>951</v>
      </c>
      <c r="C51" s="8">
        <v>-1.35731020571108</v>
      </c>
      <c r="D51" s="8">
        <v>2.8848767107835901E-2</v>
      </c>
      <c r="E51" s="10">
        <v>2.4375573308026102</v>
      </c>
      <c r="F51" s="13">
        <v>1.27904982647399E-5</v>
      </c>
    </row>
    <row r="52" spans="1:6" x14ac:dyDescent="0.2">
      <c r="A52" s="8" t="s">
        <v>684</v>
      </c>
      <c r="B52" s="8" t="s">
        <v>685</v>
      </c>
      <c r="C52" s="8">
        <v>1.88025347433148</v>
      </c>
      <c r="D52" s="8">
        <v>1.3053636511452501E-2</v>
      </c>
      <c r="E52" s="10">
        <v>-3.3218417290043898</v>
      </c>
      <c r="F52" s="13">
        <v>2.9062067640548199E-5</v>
      </c>
    </row>
    <row r="53" spans="1:6" x14ac:dyDescent="0.2">
      <c r="A53" s="8" t="s">
        <v>682</v>
      </c>
      <c r="B53" s="8" t="s">
        <v>683</v>
      </c>
      <c r="C53" s="8">
        <v>2.2524154427026302</v>
      </c>
      <c r="D53" s="8">
        <v>4.1690732726402399E-3</v>
      </c>
      <c r="E53" s="10">
        <v>-2.2093966616622298</v>
      </c>
      <c r="F53" s="13">
        <v>7.7650692781692504E-5</v>
      </c>
    </row>
    <row r="54" spans="1:6" x14ac:dyDescent="0.2">
      <c r="A54" s="8" t="s">
        <v>822</v>
      </c>
      <c r="B54" s="8" t="s">
        <v>823</v>
      </c>
      <c r="C54" s="8">
        <v>-1.4687582347118699</v>
      </c>
      <c r="D54" s="8">
        <v>7.0712239544473297E-4</v>
      </c>
      <c r="E54" s="10">
        <v>-1.89795534182847</v>
      </c>
      <c r="F54" s="13">
        <v>1.33676902666433E-6</v>
      </c>
    </row>
    <row r="55" spans="1:6" x14ac:dyDescent="0.2">
      <c r="A55" s="8" t="s">
        <v>998</v>
      </c>
      <c r="B55" s="8" t="s">
        <v>999</v>
      </c>
      <c r="C55" s="8">
        <v>1.42488635675231</v>
      </c>
      <c r="D55" s="8">
        <v>4.5369365542434599E-2</v>
      </c>
      <c r="E55" s="10">
        <v>4.2038612920972902</v>
      </c>
      <c r="F55" s="10">
        <v>6.5648726342349697E-4</v>
      </c>
    </row>
    <row r="56" spans="1:6" x14ac:dyDescent="0.2">
      <c r="A56" s="8" t="s">
        <v>952</v>
      </c>
      <c r="B56" s="8" t="s">
        <v>953</v>
      </c>
      <c r="C56" s="8">
        <v>-1.6686892773405999</v>
      </c>
      <c r="D56" s="8">
        <v>1.6486060987158501E-2</v>
      </c>
      <c r="E56" s="10">
        <v>7.3673072784538798</v>
      </c>
      <c r="F56" s="13">
        <v>1.1407615101348401E-6</v>
      </c>
    </row>
    <row r="57" spans="1:6" x14ac:dyDescent="0.2">
      <c r="A57" s="8" t="s">
        <v>156</v>
      </c>
      <c r="B57" s="8" t="s">
        <v>157</v>
      </c>
      <c r="C57" s="8">
        <v>-2.2194711886593299</v>
      </c>
      <c r="D57" s="8">
        <v>8.2575060813920695E-4</v>
      </c>
      <c r="E57" s="10">
        <v>2.9989095334882201</v>
      </c>
      <c r="F57" s="10">
        <v>4.8184682224372501E-4</v>
      </c>
    </row>
    <row r="58" spans="1:6" x14ac:dyDescent="0.2">
      <c r="A58" s="8" t="s">
        <v>158</v>
      </c>
      <c r="B58" s="8" t="s">
        <v>159</v>
      </c>
      <c r="C58" s="8">
        <v>-1.67454390946867</v>
      </c>
      <c r="D58" s="8">
        <v>9.8829733260120695E-3</v>
      </c>
      <c r="E58" s="10">
        <v>3.5712710043440099</v>
      </c>
      <c r="F58" s="13">
        <v>5.9863007022521696E-11</v>
      </c>
    </row>
    <row r="59" spans="1:6" x14ac:dyDescent="0.2">
      <c r="A59" s="8" t="s">
        <v>88</v>
      </c>
      <c r="B59" s="8" t="s">
        <v>89</v>
      </c>
      <c r="C59" s="8">
        <v>-3.2579098296483702</v>
      </c>
      <c r="D59" s="8">
        <v>4.4395102600806098E-2</v>
      </c>
      <c r="E59" s="10">
        <v>-2.5950550445929599</v>
      </c>
      <c r="F59" s="10">
        <v>2.6004325535861602E-3</v>
      </c>
    </row>
    <row r="60" spans="1:6" x14ac:dyDescent="0.2">
      <c r="A60" s="8" t="s">
        <v>1230</v>
      </c>
      <c r="B60" s="8" t="s">
        <v>1231</v>
      </c>
      <c r="C60" s="8">
        <v>-1.2290897598959101</v>
      </c>
      <c r="D60" s="8">
        <v>4.5418825806033E-2</v>
      </c>
      <c r="E60" s="10">
        <v>1.36641504795937</v>
      </c>
      <c r="F60" s="10">
        <v>1.4712374308975399E-4</v>
      </c>
    </row>
    <row r="61" spans="1:6" x14ac:dyDescent="0.2">
      <c r="A61" s="8" t="s">
        <v>516</v>
      </c>
      <c r="B61" s="8" t="s">
        <v>517</v>
      </c>
      <c r="C61" s="8">
        <v>-1.2152489473432899</v>
      </c>
      <c r="D61" s="8">
        <v>2.2115360742455101E-2</v>
      </c>
      <c r="E61" s="10">
        <v>4.0842401697125998</v>
      </c>
      <c r="F61" s="13">
        <v>4.1234600620202701E-34</v>
      </c>
    </row>
    <row r="62" spans="1:6" x14ac:dyDescent="0.2">
      <c r="A62" s="8" t="s">
        <v>232</v>
      </c>
      <c r="B62" s="8" t="s">
        <v>233</v>
      </c>
      <c r="C62" s="8">
        <v>1.06068066809957</v>
      </c>
      <c r="D62" s="8">
        <v>1.28096536701042E-2</v>
      </c>
      <c r="E62" s="10">
        <v>-1.31356658434712</v>
      </c>
      <c r="F62" s="13">
        <v>6.8063701387145998E-6</v>
      </c>
    </row>
    <row r="63" spans="1:6" x14ac:dyDescent="0.2">
      <c r="A63" s="8" t="s">
        <v>932</v>
      </c>
      <c r="B63" s="8" t="s">
        <v>933</v>
      </c>
      <c r="C63" s="8">
        <v>2.3253399223772901</v>
      </c>
      <c r="D63" s="8">
        <v>1.15911795553969E-2</v>
      </c>
      <c r="E63" s="10">
        <v>-1.7524428930139899</v>
      </c>
      <c r="F63" s="10">
        <v>5.3546726132189801E-4</v>
      </c>
    </row>
    <row r="64" spans="1:6" x14ac:dyDescent="0.2">
      <c r="A64" s="8" t="s">
        <v>930</v>
      </c>
      <c r="B64" s="8" t="s">
        <v>931</v>
      </c>
      <c r="C64" s="8">
        <v>1.2051521813819499</v>
      </c>
      <c r="D64" s="8">
        <v>2.0444968181989698E-2</v>
      </c>
      <c r="E64" s="10">
        <v>-2.6434367984068499</v>
      </c>
      <c r="F64" s="13">
        <v>8.2423399334858396E-8</v>
      </c>
    </row>
    <row r="65" spans="1:6" x14ac:dyDescent="0.2">
      <c r="A65" s="8" t="s">
        <v>192</v>
      </c>
      <c r="B65" s="8" t="s">
        <v>193</v>
      </c>
      <c r="C65" s="8">
        <v>-2.1804510170239002</v>
      </c>
      <c r="D65" s="8">
        <v>1.4158350022116999E-2</v>
      </c>
      <c r="E65" s="10">
        <v>2.4494203533500198</v>
      </c>
      <c r="F65" s="13">
        <v>2.7123897272735602E-12</v>
      </c>
    </row>
    <row r="66" spans="1:6" x14ac:dyDescent="0.2">
      <c r="A66" s="8" t="s">
        <v>346</v>
      </c>
      <c r="B66" s="8" t="s">
        <v>347</v>
      </c>
      <c r="C66" s="8">
        <v>1.52441968140745</v>
      </c>
      <c r="D66" s="8">
        <v>1.55317242410735E-2</v>
      </c>
      <c r="E66" s="10">
        <v>2.1293369459892202</v>
      </c>
      <c r="F66" s="13">
        <v>2.0051589068494101E-15</v>
      </c>
    </row>
    <row r="67" spans="1:6" x14ac:dyDescent="0.2">
      <c r="A67" s="8" t="s">
        <v>896</v>
      </c>
      <c r="B67" s="8" t="s">
        <v>897</v>
      </c>
      <c r="C67" s="8">
        <v>-1.3446020570399599</v>
      </c>
      <c r="D67" s="8">
        <v>2.9056942011438599E-2</v>
      </c>
      <c r="E67" s="10">
        <v>5.5976565110023397</v>
      </c>
      <c r="F67" s="13">
        <v>2.65783743529306E-78</v>
      </c>
    </row>
    <row r="68" spans="1:6" x14ac:dyDescent="0.2">
      <c r="A68" s="8" t="s">
        <v>626</v>
      </c>
      <c r="B68" s="8" t="s">
        <v>627</v>
      </c>
      <c r="C68" s="8">
        <v>1.6964367486614</v>
      </c>
      <c r="D68" s="8">
        <v>2.6196362372635598E-4</v>
      </c>
      <c r="E68" s="10">
        <v>-1.83313203149821</v>
      </c>
      <c r="F68" s="13">
        <v>1.89579854247289E-7</v>
      </c>
    </row>
    <row r="69" spans="1:6" x14ac:dyDescent="0.2">
      <c r="A69" s="8" t="s">
        <v>490</v>
      </c>
      <c r="B69" s="8" t="s">
        <v>491</v>
      </c>
      <c r="C69" s="8">
        <v>-1.4666926324351299</v>
      </c>
      <c r="D69" s="8">
        <v>3.0402012943336202E-3</v>
      </c>
      <c r="E69" s="10">
        <v>1.1336470918311099</v>
      </c>
      <c r="F69" s="10">
        <v>1.7591816318476199E-4</v>
      </c>
    </row>
    <row r="70" spans="1:6" x14ac:dyDescent="0.2">
      <c r="A70" s="8" t="s">
        <v>828</v>
      </c>
      <c r="B70" s="8" t="s">
        <v>829</v>
      </c>
      <c r="C70" s="8">
        <v>-1.3233667528411801</v>
      </c>
      <c r="D70" s="8">
        <v>8.3557939936246897E-3</v>
      </c>
      <c r="E70" s="10">
        <v>1.4022415636869101</v>
      </c>
      <c r="F70" s="10">
        <v>2.6014960683469501E-3</v>
      </c>
    </row>
    <row r="71" spans="1:6" x14ac:dyDescent="0.2">
      <c r="A71" s="8" t="s">
        <v>294</v>
      </c>
      <c r="B71" s="8" t="s">
        <v>295</v>
      </c>
      <c r="C71" s="8">
        <v>1.4406927395903</v>
      </c>
      <c r="D71" s="8">
        <v>2.45368048827675E-2</v>
      </c>
      <c r="E71" s="10">
        <v>-1.4034884201830999</v>
      </c>
      <c r="F71" s="13">
        <v>5.6438771022799999E-6</v>
      </c>
    </row>
    <row r="72" spans="1:6" x14ac:dyDescent="0.2">
      <c r="A72" s="8" t="s">
        <v>372</v>
      </c>
      <c r="B72" s="8" t="s">
        <v>373</v>
      </c>
      <c r="C72" s="8">
        <v>-2.43582726985675</v>
      </c>
      <c r="D72" s="8">
        <v>9.3071394598894797E-3</v>
      </c>
      <c r="E72" s="10">
        <v>3.8759043229398298</v>
      </c>
      <c r="F72" s="13">
        <v>2.3640584508687E-7</v>
      </c>
    </row>
    <row r="73" spans="1:6" x14ac:dyDescent="0.2">
      <c r="A73" s="8" t="s">
        <v>374</v>
      </c>
      <c r="B73" s="8" t="s">
        <v>375</v>
      </c>
      <c r="C73" s="8">
        <v>-1.2490405829240701</v>
      </c>
      <c r="D73" s="8">
        <v>1.14068804618426E-2</v>
      </c>
      <c r="E73" s="10">
        <v>-1.64730020054624</v>
      </c>
      <c r="F73" s="10">
        <v>1.26500100803011E-3</v>
      </c>
    </row>
    <row r="74" spans="1:6" x14ac:dyDescent="0.2">
      <c r="A74" s="8" t="s">
        <v>472</v>
      </c>
      <c r="B74" s="8" t="s">
        <v>473</v>
      </c>
      <c r="C74" s="8">
        <v>1.35250354171698</v>
      </c>
      <c r="D74" s="8">
        <v>4.2172952916804301E-3</v>
      </c>
      <c r="E74" s="10">
        <v>-1.37446010188201</v>
      </c>
      <c r="F74" s="10">
        <v>2.8375729442322803E-4</v>
      </c>
    </row>
    <row r="75" spans="1:6" x14ac:dyDescent="0.2">
      <c r="A75" s="8" t="s">
        <v>480</v>
      </c>
      <c r="B75" s="8" t="s">
        <v>481</v>
      </c>
      <c r="C75" s="8">
        <v>1.2628654421037</v>
      </c>
      <c r="D75" s="8">
        <v>6.5559338167693803E-3</v>
      </c>
      <c r="E75" s="10">
        <v>-1.71085540131576</v>
      </c>
      <c r="F75" s="10">
        <v>1.05746947841502E-2</v>
      </c>
    </row>
    <row r="76" spans="1:6" x14ac:dyDescent="0.2">
      <c r="A76" s="8" t="s">
        <v>870</v>
      </c>
      <c r="B76" s="8" t="s">
        <v>871</v>
      </c>
      <c r="C76" s="8">
        <v>-2.83533576236022</v>
      </c>
      <c r="D76" s="8">
        <v>7.3477149775608803E-3</v>
      </c>
      <c r="E76" s="10">
        <v>3.54774506104315</v>
      </c>
      <c r="F76" s="13">
        <v>3.7509814224693501E-21</v>
      </c>
    </row>
    <row r="77" spans="1:6" x14ac:dyDescent="0.2">
      <c r="A77" s="8" t="s">
        <v>528</v>
      </c>
      <c r="B77" s="8" t="s">
        <v>529</v>
      </c>
      <c r="C77" s="8">
        <v>1.6000099890519801</v>
      </c>
      <c r="D77" s="8">
        <v>2.2542780744878001E-2</v>
      </c>
      <c r="E77" s="10">
        <v>-2.07325046720872</v>
      </c>
      <c r="F77" s="13">
        <v>1.4445735336158601E-10</v>
      </c>
    </row>
    <row r="78" spans="1:6" x14ac:dyDescent="0.2">
      <c r="A78" s="8" t="s">
        <v>142</v>
      </c>
      <c r="B78" s="8" t="s">
        <v>143</v>
      </c>
      <c r="C78" s="8">
        <v>-1.4944198902482599</v>
      </c>
      <c r="D78" s="8">
        <v>7.8605854705400494E-3</v>
      </c>
      <c r="E78" s="10">
        <v>-1.79383111800353</v>
      </c>
      <c r="F78" s="13">
        <v>1.8998296340455799E-5</v>
      </c>
    </row>
    <row r="79" spans="1:6" x14ac:dyDescent="0.2">
      <c r="A79" s="8" t="s">
        <v>1250</v>
      </c>
      <c r="B79" s="8" t="s">
        <v>1251</v>
      </c>
      <c r="C79" s="8">
        <v>1.62035182107733</v>
      </c>
      <c r="D79" s="8">
        <v>1.40496965803877E-2</v>
      </c>
      <c r="E79" s="10">
        <v>5.7704505709876299</v>
      </c>
      <c r="F79" s="10">
        <v>5.4606909905173303E-3</v>
      </c>
    </row>
    <row r="80" spans="1:6" x14ac:dyDescent="0.2">
      <c r="A80" s="8" t="s">
        <v>1182</v>
      </c>
      <c r="B80" s="8" t="s">
        <v>1183</v>
      </c>
      <c r="C80" s="8">
        <v>-1.8892951913454199</v>
      </c>
      <c r="D80" s="8">
        <v>8.2116349265747804E-4</v>
      </c>
      <c r="E80" s="10">
        <v>1.4855233307217299</v>
      </c>
      <c r="F80" s="10">
        <v>1.47103386584036E-3</v>
      </c>
    </row>
    <row r="81" spans="1:6" x14ac:dyDescent="0.2">
      <c r="A81" s="8" t="s">
        <v>1208</v>
      </c>
      <c r="B81" s="8" t="s">
        <v>1209</v>
      </c>
      <c r="C81" s="8">
        <v>-3.1719776572626102</v>
      </c>
      <c r="D81" s="8">
        <v>1.9478993108753E-2</v>
      </c>
      <c r="E81" s="10">
        <v>-6.00538009099456</v>
      </c>
      <c r="F81" s="10">
        <v>2.2870706522039098E-3</v>
      </c>
    </row>
    <row r="82" spans="1:6" x14ac:dyDescent="0.2">
      <c r="A82" s="8" t="s">
        <v>1176</v>
      </c>
      <c r="B82" s="8" t="s">
        <v>1177</v>
      </c>
      <c r="C82" s="8">
        <v>-1.0653682945884799</v>
      </c>
      <c r="D82" s="8">
        <v>3.8750722393275101E-2</v>
      </c>
      <c r="E82" s="10">
        <v>1.64387928265543</v>
      </c>
      <c r="F82" s="10">
        <v>4.2152217688221799E-4</v>
      </c>
    </row>
    <row r="83" spans="1:6" x14ac:dyDescent="0.2">
      <c r="A83" s="8" t="s">
        <v>1188</v>
      </c>
      <c r="B83" s="8" t="s">
        <v>1189</v>
      </c>
      <c r="C83" s="8">
        <v>1.16703164652161</v>
      </c>
      <c r="D83" s="8">
        <v>1.23332031119072E-2</v>
      </c>
      <c r="E83" s="10">
        <v>-1.38745369950445</v>
      </c>
      <c r="F83" s="10">
        <v>1.3731268584062501E-3</v>
      </c>
    </row>
    <row r="84" spans="1:6" x14ac:dyDescent="0.2">
      <c r="A84" s="8" t="s">
        <v>10</v>
      </c>
      <c r="B84" s="8" t="s">
        <v>11</v>
      </c>
      <c r="C84" s="8">
        <v>2.1563437446373701</v>
      </c>
      <c r="D84" s="8">
        <v>1.01916953953411E-3</v>
      </c>
      <c r="E84" s="10">
        <v>-2.7471662892031099</v>
      </c>
      <c r="F84" s="10">
        <v>1.1815618617790199E-2</v>
      </c>
    </row>
    <row r="85" spans="1:6" x14ac:dyDescent="0.2">
      <c r="A85" s="8" t="s">
        <v>40</v>
      </c>
      <c r="B85" s="8" t="s">
        <v>41</v>
      </c>
      <c r="C85" s="8">
        <v>-1.02322437878498</v>
      </c>
      <c r="D85" s="8">
        <v>1.0507154859684901E-2</v>
      </c>
      <c r="E85" s="10">
        <v>10.624886322558201</v>
      </c>
      <c r="F85" s="13">
        <v>8.8303100672451501E-13</v>
      </c>
    </row>
    <row r="86" spans="1:6" x14ac:dyDescent="0.2">
      <c r="A86" s="8" t="s">
        <v>464</v>
      </c>
      <c r="B86" s="8" t="s">
        <v>465</v>
      </c>
      <c r="C86" s="8">
        <v>-1.5907265889247599</v>
      </c>
      <c r="D86" s="8">
        <v>2.5087749064877599E-4</v>
      </c>
      <c r="E86" s="10">
        <v>-1.46631788840873</v>
      </c>
      <c r="F86" s="10">
        <v>1.7115280462644001E-4</v>
      </c>
    </row>
    <row r="87" spans="1:6" x14ac:dyDescent="0.2">
      <c r="A87" s="8" t="s">
        <v>664</v>
      </c>
      <c r="B87" s="8" t="s">
        <v>665</v>
      </c>
      <c r="C87" s="8">
        <v>2.0073797832092901</v>
      </c>
      <c r="D87" s="8">
        <v>2.07600681673531E-2</v>
      </c>
      <c r="E87" s="10">
        <v>2.1575468938447</v>
      </c>
      <c r="F87" s="13">
        <v>7.0633871175180293E-5</v>
      </c>
    </row>
    <row r="88" spans="1:6" x14ac:dyDescent="0.2">
      <c r="A88" s="8" t="s">
        <v>588</v>
      </c>
      <c r="B88" s="8" t="s">
        <v>589</v>
      </c>
      <c r="C88" s="8">
        <v>-1.9246292030583301</v>
      </c>
      <c r="D88" s="8">
        <v>5.4983036838500404E-3</v>
      </c>
      <c r="E88" s="10">
        <v>3.9447302925828298</v>
      </c>
      <c r="F88" s="13">
        <v>3.5492501043130902E-10</v>
      </c>
    </row>
    <row r="89" spans="1:6" x14ac:dyDescent="0.2">
      <c r="A89" s="8" t="s">
        <v>580</v>
      </c>
      <c r="B89" s="8" t="s">
        <v>581</v>
      </c>
      <c r="C89" s="8">
        <v>2.5357017220360301</v>
      </c>
      <c r="D89" s="8">
        <v>3.0650142497923001E-3</v>
      </c>
      <c r="E89" s="10">
        <v>-1.86070258115638</v>
      </c>
      <c r="F89" s="13">
        <v>1.76725400328596E-5</v>
      </c>
    </row>
    <row r="90" spans="1:6" x14ac:dyDescent="0.2">
      <c r="A90" s="8" t="s">
        <v>428</v>
      </c>
      <c r="B90" s="8" t="s">
        <v>429</v>
      </c>
      <c r="C90" s="8">
        <v>-1.6906943806939001</v>
      </c>
      <c r="D90" s="8">
        <v>1.8681796212188601E-2</v>
      </c>
      <c r="E90" s="10">
        <v>2.2731353219169499</v>
      </c>
      <c r="F90" s="13">
        <v>6.0821377574118102E-5</v>
      </c>
    </row>
    <row r="91" spans="1:6" x14ac:dyDescent="0.2">
      <c r="A91" s="8" t="s">
        <v>848</v>
      </c>
      <c r="B91" s="8" t="s">
        <v>849</v>
      </c>
      <c r="C91" s="8">
        <v>-1.85508110852393</v>
      </c>
      <c r="D91" s="8">
        <v>2.3420837311180802E-3</v>
      </c>
      <c r="E91" s="10">
        <v>1.62525979870125</v>
      </c>
      <c r="F91" s="10">
        <v>9.9425635878193398E-3</v>
      </c>
    </row>
    <row r="92" spans="1:6" x14ac:dyDescent="0.2">
      <c r="A92" s="8" t="s">
        <v>116</v>
      </c>
      <c r="B92" s="8" t="s">
        <v>117</v>
      </c>
      <c r="C92" s="8">
        <v>1.9726018857479499</v>
      </c>
      <c r="D92" s="8">
        <v>3.4091939095767097E-2</v>
      </c>
      <c r="E92" s="10">
        <v>7.0445353132247002</v>
      </c>
      <c r="F92" s="13">
        <v>4.4845248744676199E-5</v>
      </c>
    </row>
    <row r="93" spans="1:6" x14ac:dyDescent="0.2">
      <c r="A93" s="8" t="s">
        <v>118</v>
      </c>
      <c r="B93" s="8" t="s">
        <v>119</v>
      </c>
      <c r="C93" s="8">
        <v>1.4731520233528801</v>
      </c>
      <c r="D93" s="8">
        <v>3.7368928887100999E-2</v>
      </c>
      <c r="E93" s="10">
        <v>-1.5455542264084401</v>
      </c>
      <c r="F93" s="10">
        <v>1.0737432957353701E-4</v>
      </c>
    </row>
    <row r="94" spans="1:6" x14ac:dyDescent="0.2">
      <c r="A94" s="8" t="s">
        <v>84</v>
      </c>
      <c r="B94" s="8" t="s">
        <v>85</v>
      </c>
      <c r="C94" s="8">
        <v>-1.77628569714615</v>
      </c>
      <c r="D94" s="8">
        <v>4.0390792899163697E-2</v>
      </c>
      <c r="E94" s="10">
        <v>-2.9727481788085499</v>
      </c>
      <c r="F94" s="13">
        <v>3.9100163369535801E-10</v>
      </c>
    </row>
    <row r="95" spans="1:6" x14ac:dyDescent="0.2">
      <c r="A95" s="8" t="s">
        <v>846</v>
      </c>
      <c r="B95" s="8" t="s">
        <v>847</v>
      </c>
      <c r="C95" s="8">
        <v>-1.1534675621708299</v>
      </c>
      <c r="D95" s="8">
        <v>3.1359726198101998E-2</v>
      </c>
      <c r="E95" s="10">
        <v>3.8528795626495298</v>
      </c>
      <c r="F95" s="13">
        <v>2.5475522769799399E-5</v>
      </c>
    </row>
    <row r="96" spans="1:6" x14ac:dyDescent="0.2">
      <c r="A96" s="8" t="s">
        <v>660</v>
      </c>
      <c r="B96" s="8" t="s">
        <v>661</v>
      </c>
      <c r="C96" s="8">
        <v>-2.7831399242806798</v>
      </c>
      <c r="D96" s="8">
        <v>3.6507663137419002E-2</v>
      </c>
      <c r="E96" s="10">
        <v>3.25151957486925</v>
      </c>
      <c r="F96" s="10">
        <v>7.5609120398279399E-3</v>
      </c>
    </row>
    <row r="97" spans="1:6" x14ac:dyDescent="0.2">
      <c r="A97" s="8" t="s">
        <v>584</v>
      </c>
      <c r="B97" s="8" t="s">
        <v>585</v>
      </c>
      <c r="C97" s="8">
        <v>-1.08838074348129</v>
      </c>
      <c r="D97" s="8">
        <v>3.2361774719785297E-2</v>
      </c>
      <c r="E97" s="10">
        <v>7.3635440361004303</v>
      </c>
      <c r="F97" s="13">
        <v>1.11558659325307E-5</v>
      </c>
    </row>
    <row r="98" spans="1:6" x14ac:dyDescent="0.2">
      <c r="A98" s="8" t="s">
        <v>852</v>
      </c>
      <c r="B98" s="8" t="s">
        <v>853</v>
      </c>
      <c r="C98" s="8">
        <v>-1.6521827968064899</v>
      </c>
      <c r="D98" s="8">
        <v>4.0061275199322503E-2</v>
      </c>
      <c r="E98" s="10">
        <v>-1.84988923553145</v>
      </c>
      <c r="F98" s="10">
        <v>5.4727409494026904E-3</v>
      </c>
    </row>
    <row r="99" spans="1:6" x14ac:dyDescent="0.2">
      <c r="A99" s="8" t="s">
        <v>396</v>
      </c>
      <c r="B99" s="8" t="s">
        <v>397</v>
      </c>
      <c r="C99" s="8">
        <v>1.48680976026405</v>
      </c>
      <c r="D99" s="8">
        <v>4.8806399783952602E-4</v>
      </c>
      <c r="E99" s="10">
        <v>-2.4135004657024002</v>
      </c>
      <c r="F99" s="13">
        <v>2.8017111896336301E-22</v>
      </c>
    </row>
    <row r="100" spans="1:6" x14ac:dyDescent="0.2">
      <c r="A100" s="8" t="s">
        <v>8</v>
      </c>
      <c r="B100" s="8" t="s">
        <v>9</v>
      </c>
      <c r="C100" s="8">
        <v>2.1150535106547101</v>
      </c>
      <c r="D100" s="8">
        <v>2.79050550442871E-2</v>
      </c>
      <c r="E100" s="10">
        <v>-5.8587017801118</v>
      </c>
      <c r="F100" s="10">
        <v>3.11061845010688E-3</v>
      </c>
    </row>
    <row r="101" spans="1:6" x14ac:dyDescent="0.2">
      <c r="A101" s="8" t="s">
        <v>474</v>
      </c>
      <c r="B101" s="8" t="s">
        <v>475</v>
      </c>
      <c r="C101" s="8">
        <v>1.00181461112022</v>
      </c>
      <c r="D101" s="8">
        <v>4.6098787606588297E-3</v>
      </c>
      <c r="E101" s="10">
        <v>-1.4555502731858001</v>
      </c>
      <c r="F101" s="13">
        <v>3.7332271235400402E-6</v>
      </c>
    </row>
    <row r="102" spans="1:6" x14ac:dyDescent="0.2">
      <c r="A102" s="8" t="s">
        <v>906</v>
      </c>
      <c r="B102" s="8" t="s">
        <v>907</v>
      </c>
      <c r="C102" s="8">
        <v>-1.7260009899317801</v>
      </c>
      <c r="D102" s="8">
        <v>2.20308896726829E-2</v>
      </c>
      <c r="E102" s="10">
        <v>5.9466220853004801</v>
      </c>
      <c r="F102" s="13">
        <v>5.6240219037803998E-25</v>
      </c>
    </row>
    <row r="103" spans="1:6" x14ac:dyDescent="0.2">
      <c r="A103" s="8" t="s">
        <v>254</v>
      </c>
      <c r="B103" s="8" t="s">
        <v>255</v>
      </c>
      <c r="C103" s="8">
        <v>-1.21214341076559</v>
      </c>
      <c r="D103" s="8">
        <v>2.3918403629848602E-2</v>
      </c>
      <c r="E103" s="10">
        <v>2.23887762325502</v>
      </c>
      <c r="F103" s="13">
        <v>3.94689143454677E-13</v>
      </c>
    </row>
    <row r="104" spans="1:6" x14ac:dyDescent="0.2">
      <c r="A104" s="8" t="s">
        <v>110</v>
      </c>
      <c r="B104" s="8" t="s">
        <v>111</v>
      </c>
      <c r="C104" s="8">
        <v>4.3547054520722801</v>
      </c>
      <c r="D104" s="8">
        <v>3.2271464678636198E-4</v>
      </c>
      <c r="E104" s="10">
        <v>-3.4834739650209401</v>
      </c>
      <c r="F104" s="13">
        <v>3.3294607362706902E-15</v>
      </c>
    </row>
    <row r="105" spans="1:6" x14ac:dyDescent="0.2">
      <c r="A105" s="8" t="s">
        <v>1214</v>
      </c>
      <c r="B105" s="8" t="s">
        <v>1215</v>
      </c>
      <c r="C105" s="8">
        <v>-2.13037840050601</v>
      </c>
      <c r="D105" s="8">
        <v>4.6493556087158702E-2</v>
      </c>
      <c r="E105" s="10">
        <v>8.4442915829471996</v>
      </c>
      <c r="F105" s="13">
        <v>1.23175682573304E-11</v>
      </c>
    </row>
    <row r="106" spans="1:6" x14ac:dyDescent="0.2">
      <c r="A106" s="8" t="s">
        <v>1114</v>
      </c>
      <c r="B106" s="8" t="s">
        <v>1115</v>
      </c>
      <c r="C106" s="8">
        <v>-1.41068782476563</v>
      </c>
      <c r="D106" s="8">
        <v>1.4253342315684901E-2</v>
      </c>
      <c r="E106" s="10">
        <v>4.1982254195645901</v>
      </c>
      <c r="F106" s="13">
        <v>1.54024212600663E-6</v>
      </c>
    </row>
    <row r="107" spans="1:6" x14ac:dyDescent="0.2">
      <c r="A107" s="8" t="s">
        <v>934</v>
      </c>
      <c r="B107" s="8" t="s">
        <v>935</v>
      </c>
      <c r="C107" s="8">
        <v>1.78179672599122</v>
      </c>
      <c r="D107" s="8">
        <v>4.2838258847407702E-4</v>
      </c>
      <c r="E107" s="10">
        <v>-2.21230928209815</v>
      </c>
      <c r="F107" s="13">
        <v>1.82830710503021E-12</v>
      </c>
    </row>
    <row r="108" spans="1:6" x14ac:dyDescent="0.2">
      <c r="A108" s="8" t="s">
        <v>262</v>
      </c>
      <c r="B108" s="8" t="s">
        <v>263</v>
      </c>
      <c r="C108" s="8">
        <v>-2.1273443740177198</v>
      </c>
      <c r="D108" s="8">
        <v>1.25417627697605E-3</v>
      </c>
      <c r="E108" s="10">
        <v>3.09618739919601</v>
      </c>
      <c r="F108" s="13">
        <v>4.04609472675789E-10</v>
      </c>
    </row>
    <row r="109" spans="1:6" x14ac:dyDescent="0.2">
      <c r="A109" s="8" t="s">
        <v>806</v>
      </c>
      <c r="B109" s="8" t="s">
        <v>807</v>
      </c>
      <c r="C109" s="8">
        <v>-2.1912910283156002</v>
      </c>
      <c r="D109" s="8">
        <v>2.2799991944050399E-2</v>
      </c>
      <c r="E109" s="10">
        <v>1.9781486203107499</v>
      </c>
      <c r="F109" s="13">
        <v>3.20677970727906E-5</v>
      </c>
    </row>
    <row r="110" spans="1:6" x14ac:dyDescent="0.2">
      <c r="A110" s="8" t="s">
        <v>80</v>
      </c>
      <c r="B110" s="8" t="s">
        <v>81</v>
      </c>
      <c r="C110" s="8">
        <v>1.2480941978300899</v>
      </c>
      <c r="D110" s="8">
        <v>3.6373116934588501E-3</v>
      </c>
      <c r="E110" s="10">
        <v>-1.62769583909809</v>
      </c>
      <c r="F110" s="13">
        <v>5.2269056129122198E-11</v>
      </c>
    </row>
    <row r="111" spans="1:6" x14ac:dyDescent="0.2">
      <c r="A111" s="8" t="s">
        <v>902</v>
      </c>
      <c r="B111" s="8" t="s">
        <v>903</v>
      </c>
      <c r="C111" s="8">
        <v>1.0637720919926601</v>
      </c>
      <c r="D111" s="8">
        <v>4.3740624088771099E-3</v>
      </c>
      <c r="E111" s="10">
        <v>-1.29274083153473</v>
      </c>
      <c r="F111" s="13">
        <v>1.14930348821614E-5</v>
      </c>
    </row>
    <row r="112" spans="1:6" x14ac:dyDescent="0.2">
      <c r="A112" s="8" t="s">
        <v>1224</v>
      </c>
      <c r="B112" s="8" t="s">
        <v>1225</v>
      </c>
      <c r="C112" s="8">
        <v>1.5281123968958099</v>
      </c>
      <c r="D112" s="8">
        <v>2.5078571329857399E-2</v>
      </c>
      <c r="E112" s="10">
        <v>3.7247234127023701</v>
      </c>
      <c r="F112" s="13">
        <v>3.0386943732458299E-8</v>
      </c>
    </row>
    <row r="113" spans="1:6" x14ac:dyDescent="0.2">
      <c r="A113" s="8" t="s">
        <v>1222</v>
      </c>
      <c r="B113" s="8" t="s">
        <v>1223</v>
      </c>
      <c r="C113" s="8">
        <v>1.2918115554982901</v>
      </c>
      <c r="D113" s="8">
        <v>1.58457580843962E-2</v>
      </c>
      <c r="E113" s="10">
        <v>-2.1143708551425702</v>
      </c>
      <c r="F113" s="10">
        <v>9.0589166421068505E-3</v>
      </c>
    </row>
    <row r="114" spans="1:6" x14ac:dyDescent="0.2">
      <c r="A114" s="8" t="s">
        <v>1072</v>
      </c>
      <c r="B114" s="8" t="s">
        <v>1073</v>
      </c>
      <c r="C114" s="8">
        <v>-1.09161917995849</v>
      </c>
      <c r="D114" s="8">
        <v>5.37936945119653E-3</v>
      </c>
      <c r="E114" s="10">
        <v>2.3039282468937601</v>
      </c>
      <c r="F114" s="13">
        <v>3.0304952515380501E-7</v>
      </c>
    </row>
    <row r="115" spans="1:6" x14ac:dyDescent="0.2">
      <c r="A115" s="8" t="s">
        <v>740</v>
      </c>
      <c r="B115" s="8" t="s">
        <v>741</v>
      </c>
      <c r="C115" s="8">
        <v>1.5412038244300199</v>
      </c>
      <c r="D115" s="8">
        <v>2.0148159046346E-3</v>
      </c>
      <c r="E115" s="10">
        <v>-1.8019214700816999</v>
      </c>
      <c r="F115" s="13">
        <v>5.4195089739067799E-5</v>
      </c>
    </row>
    <row r="116" spans="1:6" x14ac:dyDescent="0.2">
      <c r="A116" s="8" t="s">
        <v>1080</v>
      </c>
      <c r="B116" s="8" t="s">
        <v>1081</v>
      </c>
      <c r="C116" s="8">
        <v>-2.04326123747507</v>
      </c>
      <c r="D116" s="8">
        <v>4.3776656857425801E-2</v>
      </c>
      <c r="E116" s="10">
        <v>3.1530023043852</v>
      </c>
      <c r="F116" s="10">
        <v>1.21643416996501E-4</v>
      </c>
    </row>
    <row r="117" spans="1:6" x14ac:dyDescent="0.2">
      <c r="A117" s="8" t="s">
        <v>366</v>
      </c>
      <c r="B117" s="8" t="s">
        <v>367</v>
      </c>
      <c r="C117" s="8">
        <v>-1.04189115246867</v>
      </c>
      <c r="D117" s="8">
        <v>2.1747675035887998E-2</v>
      </c>
      <c r="E117" s="10">
        <v>4.7250470548937997</v>
      </c>
      <c r="F117" s="13">
        <v>2.4100219481811098E-6</v>
      </c>
    </row>
    <row r="118" spans="1:6" x14ac:dyDescent="0.2">
      <c r="A118" s="8" t="s">
        <v>722</v>
      </c>
      <c r="B118" s="8" t="s">
        <v>723</v>
      </c>
      <c r="C118" s="8">
        <v>1.7911108856685301</v>
      </c>
      <c r="D118" s="8">
        <v>3.17735410201022E-2</v>
      </c>
      <c r="E118" s="10">
        <v>-4.7029496853695996</v>
      </c>
      <c r="F118" s="13">
        <v>8.4811121533316491E-22</v>
      </c>
    </row>
    <row r="119" spans="1:6" x14ac:dyDescent="0.2">
      <c r="A119" s="8" t="s">
        <v>946</v>
      </c>
      <c r="B119" s="8" t="s">
        <v>947</v>
      </c>
      <c r="C119" s="8">
        <v>-1.39462300295915</v>
      </c>
      <c r="D119" s="8">
        <v>3.6658525098161199E-2</v>
      </c>
      <c r="E119" s="10">
        <v>1.64695505984923</v>
      </c>
      <c r="F119" s="10">
        <v>4.0920052616888504E-3</v>
      </c>
    </row>
    <row r="120" spans="1:6" x14ac:dyDescent="0.2">
      <c r="A120" s="8" t="s">
        <v>788</v>
      </c>
      <c r="B120" s="8" t="s">
        <v>789</v>
      </c>
      <c r="C120" s="8">
        <v>1.6786778646923599</v>
      </c>
      <c r="D120" s="8">
        <v>1.93896378765613E-2</v>
      </c>
      <c r="E120" s="10">
        <v>-3.0565229544948802</v>
      </c>
      <c r="F120" s="13">
        <v>4.3912363948424201E-15</v>
      </c>
    </row>
    <row r="121" spans="1:6" x14ac:dyDescent="0.2">
      <c r="A121" s="8" t="s">
        <v>426</v>
      </c>
      <c r="B121" s="8" t="s">
        <v>427</v>
      </c>
      <c r="C121" s="8">
        <v>1.7749812996763299</v>
      </c>
      <c r="D121" s="8">
        <v>1.6781162866880101E-2</v>
      </c>
      <c r="E121" s="10">
        <v>-1.07254075511236</v>
      </c>
      <c r="F121" s="10">
        <v>1.03542701443483E-4</v>
      </c>
    </row>
    <row r="122" spans="1:6" x14ac:dyDescent="0.2">
      <c r="A122" s="8" t="s">
        <v>460</v>
      </c>
      <c r="B122" s="8" t="s">
        <v>461</v>
      </c>
      <c r="C122" s="8">
        <v>1.27278703292295</v>
      </c>
      <c r="D122" s="8">
        <v>3.5842002476862099E-4</v>
      </c>
      <c r="E122" s="10">
        <v>1.1253042128964501</v>
      </c>
      <c r="F122" s="13">
        <v>5.1352236130232803E-6</v>
      </c>
    </row>
    <row r="123" spans="1:6" x14ac:dyDescent="0.2">
      <c r="A123" s="8" t="s">
        <v>642</v>
      </c>
      <c r="B123" s="8" t="s">
        <v>643</v>
      </c>
      <c r="C123" s="8">
        <v>-1.41741498467491</v>
      </c>
      <c r="D123" s="8">
        <v>1.1643152127274599E-2</v>
      </c>
      <c r="E123" s="10">
        <v>2.4626653825616001</v>
      </c>
      <c r="F123" s="13">
        <v>1.00725152840429E-8</v>
      </c>
    </row>
    <row r="124" spans="1:6" x14ac:dyDescent="0.2">
      <c r="A124" s="8" t="s">
        <v>956</v>
      </c>
      <c r="B124" s="8" t="s">
        <v>957</v>
      </c>
      <c r="C124" s="8">
        <v>-2.1477186089136202</v>
      </c>
      <c r="D124" s="8">
        <v>1.10957095566919E-2</v>
      </c>
      <c r="E124" s="10">
        <v>3.29559173548409</v>
      </c>
      <c r="F124" s="10">
        <v>5.8264557826030201E-3</v>
      </c>
    </row>
    <row r="125" spans="1:6" x14ac:dyDescent="0.2">
      <c r="A125" s="8" t="s">
        <v>94</v>
      </c>
      <c r="B125" s="8" t="s">
        <v>95</v>
      </c>
      <c r="C125" s="8">
        <v>-1.3116853891201701</v>
      </c>
      <c r="D125" s="8">
        <v>2.0825209687516701E-2</v>
      </c>
      <c r="E125" s="10">
        <v>5.8147191802707203</v>
      </c>
      <c r="F125" s="10">
        <v>3.1664717567720101E-4</v>
      </c>
    </row>
    <row r="126" spans="1:6" x14ac:dyDescent="0.2">
      <c r="A126" s="8" t="s">
        <v>354</v>
      </c>
      <c r="B126" s="8" t="s">
        <v>355</v>
      </c>
      <c r="C126" s="8">
        <v>1.21373450816043</v>
      </c>
      <c r="D126" s="8">
        <v>1.9944045225654E-4</v>
      </c>
      <c r="E126" s="10">
        <v>1.3320257421794199</v>
      </c>
      <c r="F126" s="13">
        <v>2.18247053516375E-8</v>
      </c>
    </row>
    <row r="127" spans="1:6" x14ac:dyDescent="0.2">
      <c r="A127" s="8" t="s">
        <v>754</v>
      </c>
      <c r="B127" s="8" t="s">
        <v>755</v>
      </c>
      <c r="C127" s="8">
        <v>1.9762323765966301</v>
      </c>
      <c r="D127" s="8">
        <v>3.7157101044130397E-4</v>
      </c>
      <c r="E127" s="10">
        <v>-1.3228192855395899</v>
      </c>
      <c r="F127" s="10">
        <v>2.1283635774966799E-4</v>
      </c>
    </row>
    <row r="128" spans="1:6" x14ac:dyDescent="0.2">
      <c r="A128" s="8" t="s">
        <v>512</v>
      </c>
      <c r="B128" s="8" t="s">
        <v>513</v>
      </c>
      <c r="C128" s="8">
        <v>2.29076511803137</v>
      </c>
      <c r="D128" s="8">
        <v>1.4230985398741401E-4</v>
      </c>
      <c r="E128" s="10">
        <v>-1.12269848835136</v>
      </c>
      <c r="F128" s="10">
        <v>9.4106162844387201E-4</v>
      </c>
    </row>
    <row r="129" spans="1:6" x14ac:dyDescent="0.2">
      <c r="A129" s="8" t="s">
        <v>1130</v>
      </c>
      <c r="B129" s="8" t="s">
        <v>1131</v>
      </c>
      <c r="C129" s="8">
        <v>-1.27542736512871</v>
      </c>
      <c r="D129" s="8">
        <v>5.3284322485284401E-3</v>
      </c>
      <c r="E129" s="10">
        <v>-1.3249760584482799</v>
      </c>
      <c r="F129" s="13">
        <v>1.13214792598235E-5</v>
      </c>
    </row>
    <row r="130" spans="1:6" x14ac:dyDescent="0.2">
      <c r="A130" s="8" t="s">
        <v>804</v>
      </c>
      <c r="B130" s="8" t="s">
        <v>805</v>
      </c>
      <c r="C130" s="8">
        <v>-1.3290649911324199</v>
      </c>
      <c r="D130" s="8">
        <v>6.1505727281579896E-3</v>
      </c>
      <c r="E130" s="10">
        <v>-2.22667446645114</v>
      </c>
      <c r="F130" s="10">
        <v>1.72749375778927E-4</v>
      </c>
    </row>
    <row r="131" spans="1:6" x14ac:dyDescent="0.2">
      <c r="A131" s="8" t="s">
        <v>216</v>
      </c>
      <c r="B131" s="8" t="s">
        <v>217</v>
      </c>
      <c r="C131" s="8">
        <v>-1.86266220967392</v>
      </c>
      <c r="D131" s="8">
        <v>1.6453698931466001E-2</v>
      </c>
      <c r="E131" s="10">
        <v>4.6348219904627497</v>
      </c>
      <c r="F131" s="13">
        <v>5.5559584584532304E-55</v>
      </c>
    </row>
    <row r="132" spans="1:6" x14ac:dyDescent="0.2">
      <c r="A132" s="8" t="s">
        <v>1094</v>
      </c>
      <c r="B132" s="8" t="s">
        <v>1095</v>
      </c>
      <c r="C132" s="8">
        <v>-1.0992506632168699</v>
      </c>
      <c r="D132" s="8">
        <v>6.1269821857271702E-3</v>
      </c>
      <c r="E132" s="10">
        <v>2.07932703499301</v>
      </c>
      <c r="F132" s="13">
        <v>6.6345477984388999E-13</v>
      </c>
    </row>
    <row r="133" spans="1:6" x14ac:dyDescent="0.2">
      <c r="A133" s="8" t="s">
        <v>1204</v>
      </c>
      <c r="B133" s="8" t="s">
        <v>1205</v>
      </c>
      <c r="C133" s="8">
        <v>1.1874903801903001</v>
      </c>
      <c r="D133" s="8">
        <v>1.2526557399826E-3</v>
      </c>
      <c r="E133" s="10">
        <v>-1.0766664533614401</v>
      </c>
      <c r="F133" s="13">
        <v>3.52804087483314E-5</v>
      </c>
    </row>
    <row r="134" spans="1:6" x14ac:dyDescent="0.2">
      <c r="A134" s="8" t="s">
        <v>742</v>
      </c>
      <c r="B134" s="8" t="s">
        <v>743</v>
      </c>
      <c r="C134" s="8">
        <v>-3.2470703783799699</v>
      </c>
      <c r="D134" s="8">
        <v>1.23527929275503E-2</v>
      </c>
      <c r="E134" s="10">
        <v>-4.5356626937749196</v>
      </c>
      <c r="F134" s="13">
        <v>3.2916503912465399E-6</v>
      </c>
    </row>
    <row r="135" spans="1:6" x14ac:dyDescent="0.2">
      <c r="A135" s="8" t="s">
        <v>1138</v>
      </c>
      <c r="B135" s="8" t="s">
        <v>1139</v>
      </c>
      <c r="C135" s="8">
        <v>2.9270109365463299</v>
      </c>
      <c r="D135" s="9">
        <v>3.3261852276323197E-5</v>
      </c>
      <c r="E135" s="10">
        <v>-1.49248427578562</v>
      </c>
      <c r="F135" s="10">
        <v>3.5665825688301902E-4</v>
      </c>
    </row>
    <row r="136" spans="1:6" x14ac:dyDescent="0.2">
      <c r="A136" s="8" t="s">
        <v>796</v>
      </c>
      <c r="B136" s="8" t="s">
        <v>797</v>
      </c>
      <c r="C136" s="8">
        <v>1.4438847927913601</v>
      </c>
      <c r="D136" s="8">
        <v>4.4055179469894299E-3</v>
      </c>
      <c r="E136" s="10">
        <v>-1.06260172029662</v>
      </c>
      <c r="F136" s="10">
        <v>1.29801536897956E-4</v>
      </c>
    </row>
    <row r="137" spans="1:6" x14ac:dyDescent="0.2">
      <c r="A137" s="8" t="s">
        <v>744</v>
      </c>
      <c r="B137" s="8" t="s">
        <v>745</v>
      </c>
      <c r="C137" s="8">
        <v>-1.72343280433555</v>
      </c>
      <c r="D137" s="8">
        <v>1.2133885255691599E-3</v>
      </c>
      <c r="E137" s="10">
        <v>-1.12818995487088</v>
      </c>
      <c r="F137" s="10">
        <v>2.5238972006827199E-4</v>
      </c>
    </row>
    <row r="138" spans="1:6" x14ac:dyDescent="0.2">
      <c r="A138" s="8" t="s">
        <v>724</v>
      </c>
      <c r="B138" s="8" t="s">
        <v>725</v>
      </c>
      <c r="C138" s="8">
        <v>-1.0791435111748899</v>
      </c>
      <c r="D138" s="8">
        <v>8.8397966573171092E-3</v>
      </c>
      <c r="E138" s="10">
        <v>1.5319623076436499</v>
      </c>
      <c r="F138" s="13">
        <v>5.5749116002951598E-10</v>
      </c>
    </row>
    <row r="139" spans="1:6" x14ac:dyDescent="0.2">
      <c r="A139" s="8" t="s">
        <v>856</v>
      </c>
      <c r="B139" s="8" t="s">
        <v>857</v>
      </c>
      <c r="C139" s="8">
        <v>1.49347577573343</v>
      </c>
      <c r="D139" s="8">
        <v>1.1261706707942701E-3</v>
      </c>
      <c r="E139" s="10">
        <v>-2.0486890679773699</v>
      </c>
      <c r="F139" s="13">
        <v>5.08332713193214E-5</v>
      </c>
    </row>
    <row r="140" spans="1:6" x14ac:dyDescent="0.2">
      <c r="A140" s="8" t="s">
        <v>760</v>
      </c>
      <c r="B140" s="8" t="s">
        <v>761</v>
      </c>
      <c r="C140" s="8">
        <v>1.1009887893639501</v>
      </c>
      <c r="D140" s="8">
        <v>1.56560677163643E-2</v>
      </c>
      <c r="E140" s="10">
        <v>-2.5401326254775198</v>
      </c>
      <c r="F140" s="13">
        <v>5.8437829518127798E-23</v>
      </c>
    </row>
    <row r="141" spans="1:6" x14ac:dyDescent="0.2">
      <c r="A141" s="8" t="s">
        <v>774</v>
      </c>
      <c r="B141" s="8" t="s">
        <v>775</v>
      </c>
      <c r="C141" s="8">
        <v>-1.5159367785037601</v>
      </c>
      <c r="D141" s="8">
        <v>3.8311552794444197E-2</v>
      </c>
      <c r="E141" s="10">
        <v>1.7792127601975301</v>
      </c>
      <c r="F141" s="10">
        <v>5.5564576777375101E-3</v>
      </c>
    </row>
    <row r="142" spans="1:6" x14ac:dyDescent="0.2">
      <c r="A142" s="8" t="s">
        <v>866</v>
      </c>
      <c r="B142" s="8" t="s">
        <v>867</v>
      </c>
      <c r="C142" s="8">
        <v>-1.948241208205</v>
      </c>
      <c r="D142" s="8">
        <v>6.8639044226084496E-3</v>
      </c>
      <c r="E142" s="10">
        <v>3.5629512428656001</v>
      </c>
      <c r="F142" s="10">
        <v>1.4881652026035199E-4</v>
      </c>
    </row>
    <row r="143" spans="1:6" x14ac:dyDescent="0.2">
      <c r="A143" s="8" t="s">
        <v>1272</v>
      </c>
      <c r="B143" s="8" t="s">
        <v>1273</v>
      </c>
      <c r="C143" s="8">
        <v>-1.01969072532281</v>
      </c>
      <c r="D143" s="8">
        <v>1.5432972976022001E-2</v>
      </c>
      <c r="E143" s="10">
        <v>-3.1074071269472299</v>
      </c>
      <c r="F143" s="13">
        <v>6.6148538987110997E-24</v>
      </c>
    </row>
    <row r="144" spans="1:6" x14ac:dyDescent="0.2">
      <c r="A144" s="8" t="s">
        <v>1274</v>
      </c>
      <c r="B144" s="8" t="s">
        <v>1275</v>
      </c>
      <c r="C144" s="8">
        <v>-2.8421486431085801</v>
      </c>
      <c r="D144" s="8">
        <v>3.9404454489905101E-2</v>
      </c>
      <c r="E144" s="10">
        <v>-2.43780508462492</v>
      </c>
      <c r="F144" s="10">
        <v>1.04429862609357E-2</v>
      </c>
    </row>
    <row r="145" spans="1:6" x14ac:dyDescent="0.2">
      <c r="A145" s="8" t="s">
        <v>764</v>
      </c>
      <c r="B145" s="8" t="s">
        <v>765</v>
      </c>
      <c r="C145" s="8">
        <v>1.77611394668022</v>
      </c>
      <c r="D145" s="8">
        <v>2.3458941034032399E-2</v>
      </c>
      <c r="E145" s="10">
        <v>-3.5928144035041099</v>
      </c>
      <c r="F145" s="13">
        <v>8.3003501061543498E-5</v>
      </c>
    </row>
    <row r="146" spans="1:6" x14ac:dyDescent="0.2">
      <c r="A146" s="8" t="s">
        <v>358</v>
      </c>
      <c r="B146" s="8" t="s">
        <v>359</v>
      </c>
      <c r="C146" s="8">
        <v>1.73029967498597</v>
      </c>
      <c r="D146" s="8">
        <v>4.28278592245153E-3</v>
      </c>
      <c r="E146" s="10">
        <v>-1.75337205733859</v>
      </c>
      <c r="F146" s="10">
        <v>2.0612939151944299E-3</v>
      </c>
    </row>
    <row r="147" spans="1:6" x14ac:dyDescent="0.2">
      <c r="A147" s="8" t="s">
        <v>356</v>
      </c>
      <c r="B147" s="8" t="s">
        <v>357</v>
      </c>
      <c r="C147" s="8">
        <v>1.0607491645035201</v>
      </c>
      <c r="D147" s="8">
        <v>5.7069988638481402E-3</v>
      </c>
      <c r="E147" s="10">
        <v>-1.54614067102736</v>
      </c>
      <c r="F147" s="13">
        <v>4.4169947683602497E-8</v>
      </c>
    </row>
    <row r="148" spans="1:6" x14ac:dyDescent="0.2">
      <c r="A148" s="8" t="s">
        <v>770</v>
      </c>
      <c r="B148" s="8" t="s">
        <v>771</v>
      </c>
      <c r="C148" s="8">
        <v>1.6623574555509999</v>
      </c>
      <c r="D148" s="8">
        <v>2.3207273910529199E-3</v>
      </c>
      <c r="E148" s="10">
        <v>-2.3455909574352098</v>
      </c>
      <c r="F148" s="13">
        <v>3.3860974480125702E-14</v>
      </c>
    </row>
    <row r="149" spans="1:6" x14ac:dyDescent="0.2">
      <c r="A149" s="8" t="s">
        <v>174</v>
      </c>
      <c r="B149" s="8" t="s">
        <v>175</v>
      </c>
      <c r="C149" s="8">
        <v>1.1395534585924101</v>
      </c>
      <c r="D149" s="8">
        <v>1.27179606235584E-2</v>
      </c>
      <c r="E149" s="10">
        <v>-2.0832212367268301</v>
      </c>
      <c r="F149" s="13">
        <v>6.2556676183619598E-10</v>
      </c>
    </row>
    <row r="150" spans="1:6" x14ac:dyDescent="0.2">
      <c r="A150" s="8" t="s">
        <v>1170</v>
      </c>
      <c r="B150" s="8" t="s">
        <v>1171</v>
      </c>
      <c r="C150" s="8">
        <v>-1.93016569100585</v>
      </c>
      <c r="D150" s="8">
        <v>2.2508603800076299E-2</v>
      </c>
      <c r="E150" s="10">
        <v>-2.49643132829237</v>
      </c>
      <c r="F150" s="10">
        <v>2.5009328874948998E-4</v>
      </c>
    </row>
    <row r="151" spans="1:6" x14ac:dyDescent="0.2">
      <c r="A151" s="8" t="s">
        <v>1206</v>
      </c>
      <c r="B151" s="8" t="s">
        <v>1207</v>
      </c>
      <c r="C151" s="8">
        <v>-2.1928650189476402</v>
      </c>
      <c r="D151" s="8">
        <v>1.58012723555261E-2</v>
      </c>
      <c r="E151" s="10">
        <v>6.4463972781824896</v>
      </c>
      <c r="F151" s="13">
        <v>2.0526293783041099E-35</v>
      </c>
    </row>
    <row r="152" spans="1:6" x14ac:dyDescent="0.2">
      <c r="A152" s="8" t="s">
        <v>42</v>
      </c>
      <c r="B152" s="8" t="s">
        <v>43</v>
      </c>
      <c r="C152" s="8">
        <v>-1.1694976997663999</v>
      </c>
      <c r="D152" s="8">
        <v>3.4248347498491399E-2</v>
      </c>
      <c r="E152" s="10">
        <v>4.6583340508931101</v>
      </c>
      <c r="F152" s="13">
        <v>2.6910656772303398E-16</v>
      </c>
    </row>
    <row r="153" spans="1:6" x14ac:dyDescent="0.2">
      <c r="A153" s="8" t="s">
        <v>414</v>
      </c>
      <c r="B153" s="8" t="s">
        <v>415</v>
      </c>
      <c r="C153" s="8">
        <v>1.1372723577073001</v>
      </c>
      <c r="D153" s="8">
        <v>1.1082689267145901E-2</v>
      </c>
      <c r="E153" s="10">
        <v>-1.7998758364135099</v>
      </c>
      <c r="F153" s="13">
        <v>1.15863263399995E-6</v>
      </c>
    </row>
    <row r="154" spans="1:6" x14ac:dyDescent="0.2">
      <c r="A154" s="8" t="s">
        <v>996</v>
      </c>
      <c r="B154" s="8" t="s">
        <v>997</v>
      </c>
      <c r="C154" s="8">
        <v>-2.4051710382601299</v>
      </c>
      <c r="D154" s="8">
        <v>1.9214070669850401E-2</v>
      </c>
      <c r="E154" s="10">
        <v>3.0236844844195101</v>
      </c>
      <c r="F154" s="10">
        <v>9.99809874796799E-3</v>
      </c>
    </row>
    <row r="155" spans="1:6" x14ac:dyDescent="0.2">
      <c r="A155" s="8" t="s">
        <v>1062</v>
      </c>
      <c r="B155" s="8" t="s">
        <v>1063</v>
      </c>
      <c r="C155" s="8">
        <v>-1.2629304633745599</v>
      </c>
      <c r="D155" s="8">
        <v>2.1838163784316899E-3</v>
      </c>
      <c r="E155" s="10">
        <v>1.49864047011757</v>
      </c>
      <c r="F155" s="13">
        <v>1.4932812504362799E-8</v>
      </c>
    </row>
    <row r="156" spans="1:6" x14ac:dyDescent="0.2">
      <c r="A156" s="8" t="s">
        <v>636</v>
      </c>
      <c r="B156" s="8" t="s">
        <v>637</v>
      </c>
      <c r="C156" s="8">
        <v>-1.37032338884268</v>
      </c>
      <c r="D156" s="8">
        <v>2.9019371022687899E-2</v>
      </c>
      <c r="E156" s="10">
        <v>6.20531212321709</v>
      </c>
      <c r="F156" s="13">
        <v>3.9041900878265502E-16</v>
      </c>
    </row>
    <row r="157" spans="1:6" x14ac:dyDescent="0.2">
      <c r="A157" s="8" t="s">
        <v>392</v>
      </c>
      <c r="B157" s="8" t="s">
        <v>393</v>
      </c>
      <c r="C157" s="8">
        <v>-1.66935770153514</v>
      </c>
      <c r="D157" s="8">
        <v>2.8808854205917899E-2</v>
      </c>
      <c r="E157" s="10">
        <v>3.0686000140459799</v>
      </c>
      <c r="F157" s="10">
        <v>6.2178550180484599E-3</v>
      </c>
    </row>
    <row r="158" spans="1:6" x14ac:dyDescent="0.2">
      <c r="A158" s="8" t="s">
        <v>614</v>
      </c>
      <c r="B158" s="8" t="s">
        <v>615</v>
      </c>
      <c r="C158" s="8">
        <v>1.5523682844512099</v>
      </c>
      <c r="D158" s="8">
        <v>1.0609805150051201E-2</v>
      </c>
      <c r="E158" s="10">
        <v>-2.2975943465940798</v>
      </c>
      <c r="F158" s="13">
        <v>5.3370822958983301E-5</v>
      </c>
    </row>
    <row r="159" spans="1:6" x14ac:dyDescent="0.2">
      <c r="A159" s="8" t="s">
        <v>1086</v>
      </c>
      <c r="B159" s="8" t="s">
        <v>1087</v>
      </c>
      <c r="C159" s="8">
        <v>-1.22335918041383</v>
      </c>
      <c r="D159" s="8">
        <v>3.1215755912154799E-3</v>
      </c>
      <c r="E159" s="10">
        <v>7.1325043007811004</v>
      </c>
      <c r="F159" s="13">
        <v>5.3643634637885498E-57</v>
      </c>
    </row>
    <row r="160" spans="1:6" x14ac:dyDescent="0.2">
      <c r="A160" s="8" t="s">
        <v>2</v>
      </c>
      <c r="B160" s="8" t="s">
        <v>3</v>
      </c>
      <c r="C160" s="8">
        <v>-1.9359989438345799</v>
      </c>
      <c r="D160" s="8">
        <v>2.91076495443293E-3</v>
      </c>
      <c r="E160" s="10">
        <v>4.8459366504379604</v>
      </c>
      <c r="F160" s="13">
        <v>7.8892294087007899E-6</v>
      </c>
    </row>
    <row r="161" spans="1:6" x14ac:dyDescent="0.2">
      <c r="A161" s="8" t="s">
        <v>404</v>
      </c>
      <c r="B161" s="8" t="s">
        <v>405</v>
      </c>
      <c r="C161" s="8">
        <v>1.2712346283293601</v>
      </c>
      <c r="D161" s="8">
        <v>1.72914613547926E-3</v>
      </c>
      <c r="E161" s="10">
        <v>-1.0341018888660201</v>
      </c>
      <c r="F161" s="13">
        <v>2.08000560960801E-5</v>
      </c>
    </row>
    <row r="162" spans="1:6" x14ac:dyDescent="0.2">
      <c r="A162" s="8" t="s">
        <v>136</v>
      </c>
      <c r="B162" s="8" t="s">
        <v>137</v>
      </c>
      <c r="C162" s="8">
        <v>-2.07865385779811</v>
      </c>
      <c r="D162" s="8">
        <v>6.2711693502204898E-4</v>
      </c>
      <c r="E162" s="10">
        <v>2.6516415015135602</v>
      </c>
      <c r="F162" s="13">
        <v>5.8403356960931803E-10</v>
      </c>
    </row>
    <row r="163" spans="1:6" x14ac:dyDescent="0.2">
      <c r="A163" s="8" t="s">
        <v>338</v>
      </c>
      <c r="B163" s="8" t="s">
        <v>339</v>
      </c>
      <c r="C163" s="8">
        <v>1.2752985679383799</v>
      </c>
      <c r="D163" s="8">
        <v>4.4600287059175701E-2</v>
      </c>
      <c r="E163" s="10">
        <v>-1.92540441940691</v>
      </c>
      <c r="F163" s="10">
        <v>2.4534640252136201E-3</v>
      </c>
    </row>
    <row r="164" spans="1:6" x14ac:dyDescent="0.2">
      <c r="A164" s="8" t="s">
        <v>1118</v>
      </c>
      <c r="B164" s="8" t="s">
        <v>1119</v>
      </c>
      <c r="C164" s="8">
        <v>-1.6803429731923201</v>
      </c>
      <c r="D164" s="8">
        <v>2.9832357334782102E-2</v>
      </c>
      <c r="E164" s="10">
        <v>3.3592127053762</v>
      </c>
      <c r="F164" s="13">
        <v>6.1933630028522696E-14</v>
      </c>
    </row>
    <row r="165" spans="1:6" x14ac:dyDescent="0.2">
      <c r="A165" s="8" t="s">
        <v>522</v>
      </c>
      <c r="B165" s="8" t="s">
        <v>523</v>
      </c>
      <c r="C165" s="8">
        <v>-1.31802047720965</v>
      </c>
      <c r="D165" s="8">
        <v>3.4704658769447701E-3</v>
      </c>
      <c r="E165" s="10">
        <v>2.0387626492063999</v>
      </c>
      <c r="F165" s="10">
        <v>1.0868948380407801E-4</v>
      </c>
    </row>
    <row r="166" spans="1:6" x14ac:dyDescent="0.2">
      <c r="A166" s="8" t="s">
        <v>634</v>
      </c>
      <c r="B166" s="8" t="s">
        <v>635</v>
      </c>
      <c r="C166" s="8">
        <v>-2.6657848637388999</v>
      </c>
      <c r="D166" s="8">
        <v>7.0370564796523203E-3</v>
      </c>
      <c r="E166" s="10">
        <v>3.3543875006419999</v>
      </c>
      <c r="F166" s="13">
        <v>4.5002118430746704E-12</v>
      </c>
    </row>
    <row r="167" spans="1:6" x14ac:dyDescent="0.2">
      <c r="A167" s="8" t="s">
        <v>814</v>
      </c>
      <c r="B167" s="8" t="s">
        <v>815</v>
      </c>
      <c r="C167" s="8">
        <v>-1.3883531010028101</v>
      </c>
      <c r="D167" s="8">
        <v>1.14596578084171E-2</v>
      </c>
      <c r="E167" s="10">
        <v>7.4390469246063002</v>
      </c>
      <c r="F167" s="13">
        <v>6.0346760743994904E-25</v>
      </c>
    </row>
    <row r="168" spans="1:6" x14ac:dyDescent="0.2">
      <c r="A168" s="8" t="s">
        <v>1092</v>
      </c>
      <c r="B168" s="8" t="s">
        <v>1093</v>
      </c>
      <c r="C168" s="8">
        <v>1.5630697241084599</v>
      </c>
      <c r="D168" s="8">
        <v>3.5600910478916802E-2</v>
      </c>
      <c r="E168" s="10">
        <v>-1.7864894392444199</v>
      </c>
      <c r="F168" s="13">
        <v>8.1753015414243295E-6</v>
      </c>
    </row>
    <row r="169" spans="1:6" x14ac:dyDescent="0.2">
      <c r="A169" s="8" t="s">
        <v>454</v>
      </c>
      <c r="B169" s="8" t="s">
        <v>455</v>
      </c>
      <c r="C169" s="8">
        <v>1.83631062592709</v>
      </c>
      <c r="D169" s="9">
        <v>8.4241778343346706E-5</v>
      </c>
      <c r="E169" s="10">
        <v>1.35881596967773</v>
      </c>
      <c r="F169" s="13">
        <v>6.8507269662964696E-8</v>
      </c>
    </row>
    <row r="170" spans="1:6" x14ac:dyDescent="0.2">
      <c r="A170" s="8" t="s">
        <v>1144</v>
      </c>
      <c r="B170" s="8" t="s">
        <v>1145</v>
      </c>
      <c r="C170" s="8">
        <v>-1.2395238549145999</v>
      </c>
      <c r="D170" s="8">
        <v>9.6790587736166804E-4</v>
      </c>
      <c r="E170" s="10">
        <v>-1.9177674807785901</v>
      </c>
      <c r="F170" s="13">
        <v>4.6035653823536604E-12</v>
      </c>
    </row>
    <row r="171" spans="1:6" x14ac:dyDescent="0.2">
      <c r="A171" s="8" t="s">
        <v>568</v>
      </c>
      <c r="B171" s="8" t="s">
        <v>569</v>
      </c>
      <c r="C171" s="8">
        <v>-1.06198255282161</v>
      </c>
      <c r="D171" s="8">
        <v>1.16740911564486E-2</v>
      </c>
      <c r="E171" s="10">
        <v>-3.09548404800036</v>
      </c>
      <c r="F171" s="13">
        <v>4.22530236054814E-23</v>
      </c>
    </row>
    <row r="172" spans="1:6" x14ac:dyDescent="0.2">
      <c r="A172" s="8" t="s">
        <v>1040</v>
      </c>
      <c r="B172" s="8" t="s">
        <v>1041</v>
      </c>
      <c r="C172" s="8">
        <v>1.5077631117505099</v>
      </c>
      <c r="D172" s="8">
        <v>3.9031978783588397E-2</v>
      </c>
      <c r="E172" s="10">
        <v>-1.94622383674389</v>
      </c>
      <c r="F172" s="10">
        <v>9.6872106524545191E-3</v>
      </c>
    </row>
    <row r="173" spans="1:6" x14ac:dyDescent="0.2">
      <c r="A173" s="8" t="s">
        <v>466</v>
      </c>
      <c r="B173" s="8" t="s">
        <v>467</v>
      </c>
      <c r="C173" s="8">
        <v>2.1440870037736999</v>
      </c>
      <c r="D173" s="8">
        <v>3.94276957981343E-2</v>
      </c>
      <c r="E173" s="10">
        <v>-2.6512869352869899</v>
      </c>
      <c r="F173" s="10">
        <v>2.9650530366043299E-3</v>
      </c>
    </row>
    <row r="174" spans="1:6" x14ac:dyDescent="0.2">
      <c r="A174" s="8" t="s">
        <v>76</v>
      </c>
      <c r="B174" s="8" t="s">
        <v>77</v>
      </c>
      <c r="C174" s="8">
        <v>1.5080157583721601</v>
      </c>
      <c r="D174" s="8">
        <v>1.5506152319689499E-2</v>
      </c>
      <c r="E174" s="10">
        <v>-1.2308110454296399</v>
      </c>
      <c r="F174" s="10">
        <v>1.7453309060588399E-3</v>
      </c>
    </row>
    <row r="175" spans="1:6" x14ac:dyDescent="0.2">
      <c r="A175" s="8" t="s">
        <v>444</v>
      </c>
      <c r="B175" s="8" t="s">
        <v>445</v>
      </c>
      <c r="C175" s="8">
        <v>1.1776947034687</v>
      </c>
      <c r="D175" s="8">
        <v>1.1555485709569299E-3</v>
      </c>
      <c r="E175" s="10">
        <v>4.2202842274852799</v>
      </c>
      <c r="F175" s="13">
        <v>4.8302192000511199E-56</v>
      </c>
    </row>
    <row r="176" spans="1:6" x14ac:dyDescent="0.2">
      <c r="A176" s="8" t="s">
        <v>504</v>
      </c>
      <c r="B176" s="8" t="s">
        <v>505</v>
      </c>
      <c r="C176" s="8">
        <v>1.2118094241419</v>
      </c>
      <c r="D176" s="8">
        <v>9.7145240744046409E-3</v>
      </c>
      <c r="E176" s="10">
        <v>1.72971163118039</v>
      </c>
      <c r="F176" s="13">
        <v>4.1656485673658397E-5</v>
      </c>
    </row>
    <row r="177" spans="1:6" x14ac:dyDescent="0.2">
      <c r="A177" s="8" t="s">
        <v>150</v>
      </c>
      <c r="B177" s="8" t="s">
        <v>151</v>
      </c>
      <c r="C177" s="8">
        <v>-1.5916655297297</v>
      </c>
      <c r="D177" s="8">
        <v>4.9003286671429003E-2</v>
      </c>
      <c r="E177" s="10">
        <v>1.1586623301318699</v>
      </c>
      <c r="F177" s="10">
        <v>4.9891770475908497E-3</v>
      </c>
    </row>
    <row r="178" spans="1:6" x14ac:dyDescent="0.2">
      <c r="A178" s="8" t="s">
        <v>482</v>
      </c>
      <c r="B178" s="8" t="s">
        <v>483</v>
      </c>
      <c r="C178" s="8">
        <v>1.6068090275623901</v>
      </c>
      <c r="D178" s="8">
        <v>2.19148229775189E-2</v>
      </c>
      <c r="E178" s="10">
        <v>-2.5782208648832499</v>
      </c>
      <c r="F178" s="13">
        <v>1.9329772113860899E-20</v>
      </c>
    </row>
    <row r="179" spans="1:6" x14ac:dyDescent="0.2">
      <c r="A179" s="8" t="s">
        <v>330</v>
      </c>
      <c r="B179" s="8" t="s">
        <v>331</v>
      </c>
      <c r="C179" s="8">
        <v>-2.1515955925645698</v>
      </c>
      <c r="D179" s="8">
        <v>2.7885643918708299E-3</v>
      </c>
      <c r="E179" s="10">
        <v>3.2256159232285002</v>
      </c>
      <c r="F179" s="10">
        <v>2.2692045165141599E-3</v>
      </c>
    </row>
    <row r="180" spans="1:6" x14ac:dyDescent="0.2">
      <c r="A180" s="8" t="s">
        <v>982</v>
      </c>
      <c r="B180" s="8" t="s">
        <v>983</v>
      </c>
      <c r="C180" s="8">
        <v>-2.19428711199367</v>
      </c>
      <c r="D180" s="8">
        <v>9.3436162882421202E-3</v>
      </c>
      <c r="E180" s="10">
        <v>2.6352137098112398</v>
      </c>
      <c r="F180" s="13">
        <v>5.4408223994707501E-7</v>
      </c>
    </row>
    <row r="181" spans="1:6" x14ac:dyDescent="0.2">
      <c r="A181" s="8" t="s">
        <v>390</v>
      </c>
      <c r="B181" s="8" t="s">
        <v>391</v>
      </c>
      <c r="C181" s="8">
        <v>1.2342913172926799</v>
      </c>
      <c r="D181" s="8">
        <v>3.95312741231253E-2</v>
      </c>
      <c r="E181" s="10">
        <v>1.2394233869012301</v>
      </c>
      <c r="F181" s="10">
        <v>2.01508005680164E-3</v>
      </c>
    </row>
    <row r="182" spans="1:6" x14ac:dyDescent="0.2">
      <c r="A182" s="8" t="s">
        <v>86</v>
      </c>
      <c r="B182" s="8" t="s">
        <v>87</v>
      </c>
      <c r="C182" s="8">
        <v>-1.47692320007403</v>
      </c>
      <c r="D182" s="8">
        <v>2.5960897895479999E-2</v>
      </c>
      <c r="E182" s="10">
        <v>5.0797762003572</v>
      </c>
      <c r="F182" s="13">
        <v>7.5949638519545901E-24</v>
      </c>
    </row>
    <row r="183" spans="1:6" x14ac:dyDescent="0.2">
      <c r="A183" s="8" t="s">
        <v>968</v>
      </c>
      <c r="B183" s="8" t="s">
        <v>969</v>
      </c>
      <c r="C183" s="8">
        <v>-2.1722878642205701</v>
      </c>
      <c r="D183" s="8">
        <v>1.7482981633550499E-4</v>
      </c>
      <c r="E183" s="10">
        <v>2.1765338356158699</v>
      </c>
      <c r="F183" s="13">
        <v>2.5579208342378901E-17</v>
      </c>
    </row>
    <row r="184" spans="1:6" x14ac:dyDescent="0.2">
      <c r="A184" s="8" t="s">
        <v>966</v>
      </c>
      <c r="B184" s="8" t="s">
        <v>967</v>
      </c>
      <c r="C184" s="8">
        <v>-1.9493125824184501</v>
      </c>
      <c r="D184" s="8">
        <v>5.7650827421257505E-4</v>
      </c>
      <c r="E184" s="10">
        <v>1.5285588427740999</v>
      </c>
      <c r="F184" s="13">
        <v>1.26432326654048E-8</v>
      </c>
    </row>
    <row r="185" spans="1:6" x14ac:dyDescent="0.2">
      <c r="A185" s="8" t="s">
        <v>976</v>
      </c>
      <c r="B185" s="8" t="s">
        <v>977</v>
      </c>
      <c r="C185" s="8">
        <v>1.28313033441728</v>
      </c>
      <c r="D185" s="8">
        <v>1.2970987525941899E-2</v>
      </c>
      <c r="E185" s="10">
        <v>-2.0954153333685999</v>
      </c>
      <c r="F185" s="13">
        <v>2.7221814852253901E-7</v>
      </c>
    </row>
    <row r="186" spans="1:6" x14ac:dyDescent="0.2">
      <c r="A186" s="8" t="s">
        <v>12</v>
      </c>
      <c r="B186" s="8" t="s">
        <v>13</v>
      </c>
      <c r="C186" s="8">
        <v>-1.0779139685497301</v>
      </c>
      <c r="D186" s="8">
        <v>3.06573308448649E-2</v>
      </c>
      <c r="E186" s="10">
        <v>2.9700638731085101</v>
      </c>
      <c r="F186" s="13">
        <v>3.1718256392025501E-19</v>
      </c>
    </row>
    <row r="187" spans="1:6" x14ac:dyDescent="0.2">
      <c r="A187" s="8" t="s">
        <v>894</v>
      </c>
      <c r="B187" s="8" t="s">
        <v>895</v>
      </c>
      <c r="C187" s="8">
        <v>-1.5052441617664101</v>
      </c>
      <c r="D187" s="8">
        <v>6.3685827712050601E-3</v>
      </c>
      <c r="E187" s="10">
        <v>-1.38089240224605</v>
      </c>
      <c r="F187" s="13">
        <v>8.5715746655730301E-5</v>
      </c>
    </row>
    <row r="188" spans="1:6" x14ac:dyDescent="0.2">
      <c r="A188" s="8" t="s">
        <v>868</v>
      </c>
      <c r="B188" s="8" t="s">
        <v>869</v>
      </c>
      <c r="C188" s="8">
        <v>-1.17659410418295</v>
      </c>
      <c r="D188" s="8">
        <v>5.5499178527696304E-4</v>
      </c>
      <c r="E188" s="10">
        <v>-1.0807167075347901</v>
      </c>
      <c r="F188" s="10">
        <v>1.12584109894084E-4</v>
      </c>
    </row>
    <row r="189" spans="1:6" x14ac:dyDescent="0.2">
      <c r="A189" s="8" t="s">
        <v>56</v>
      </c>
      <c r="B189" s="8" t="s">
        <v>57</v>
      </c>
      <c r="C189" s="8">
        <v>-1.85291746365291</v>
      </c>
      <c r="D189" s="8">
        <v>2.2745654116461501E-2</v>
      </c>
      <c r="E189" s="10">
        <v>2.6775900561044801</v>
      </c>
      <c r="F189" s="13">
        <v>5.8580007464189302E-6</v>
      </c>
    </row>
    <row r="190" spans="1:6" x14ac:dyDescent="0.2">
      <c r="A190" s="8" t="s">
        <v>1260</v>
      </c>
      <c r="B190" s="8" t="s">
        <v>1261</v>
      </c>
      <c r="C190" s="8">
        <v>1.3576173418555499</v>
      </c>
      <c r="D190" s="8">
        <v>3.0393372076667398E-4</v>
      </c>
      <c r="E190" s="10">
        <v>-1.7143356004427399</v>
      </c>
      <c r="F190" s="13">
        <v>5.5455322537805601E-12</v>
      </c>
    </row>
    <row r="191" spans="1:6" x14ac:dyDescent="0.2">
      <c r="A191" s="8" t="s">
        <v>836</v>
      </c>
      <c r="B191" s="8" t="s">
        <v>837</v>
      </c>
      <c r="C191" s="8">
        <v>1.1027703102347399</v>
      </c>
      <c r="D191" s="8">
        <v>3.4842776711063199E-3</v>
      </c>
      <c r="E191" s="10">
        <v>1.82187037435054</v>
      </c>
      <c r="F191" s="13">
        <v>2.6061693325446898E-7</v>
      </c>
    </row>
    <row r="192" spans="1:6" x14ac:dyDescent="0.2">
      <c r="A192" s="8" t="s">
        <v>1126</v>
      </c>
      <c r="B192" s="8" t="s">
        <v>1127</v>
      </c>
      <c r="C192" s="8">
        <v>-1.1386636485594299</v>
      </c>
      <c r="D192" s="8">
        <v>4.4314773140330999E-2</v>
      </c>
      <c r="E192" s="10">
        <v>-1.54839653900731</v>
      </c>
      <c r="F192" s="10">
        <v>2.52350582332495E-3</v>
      </c>
    </row>
    <row r="193" spans="1:6" x14ac:dyDescent="0.2">
      <c r="A193" s="8" t="s">
        <v>772</v>
      </c>
      <c r="B193" s="8" t="s">
        <v>773</v>
      </c>
      <c r="C193" s="8">
        <v>-1.1440193013039499</v>
      </c>
      <c r="D193" s="8">
        <v>1.7729804130523399E-2</v>
      </c>
      <c r="E193" s="10">
        <v>2.1755843395813699</v>
      </c>
      <c r="F193" s="10">
        <v>3.59294160027187E-4</v>
      </c>
    </row>
    <row r="194" spans="1:6" x14ac:dyDescent="0.2">
      <c r="A194" s="8" t="s">
        <v>598</v>
      </c>
      <c r="B194" s="8" t="s">
        <v>599</v>
      </c>
      <c r="C194" s="8">
        <v>1.74065548751976</v>
      </c>
      <c r="D194" s="8">
        <v>1.39569355664432E-3</v>
      </c>
      <c r="E194" s="10">
        <v>2.0769656743767202</v>
      </c>
      <c r="F194" s="13">
        <v>2.9737982220297299E-6</v>
      </c>
    </row>
    <row r="195" spans="1:6" x14ac:dyDescent="0.2">
      <c r="A195" s="8" t="s">
        <v>720</v>
      </c>
      <c r="B195" s="8" t="s">
        <v>721</v>
      </c>
      <c r="C195" s="8">
        <v>1.1376441044447201</v>
      </c>
      <c r="D195" s="8">
        <v>3.74315892145861E-2</v>
      </c>
      <c r="E195" s="10">
        <v>-1.19788590132207</v>
      </c>
      <c r="F195" s="13">
        <v>1.6772811012521E-5</v>
      </c>
    </row>
    <row r="196" spans="1:6" x14ac:dyDescent="0.2">
      <c r="A196" s="8" t="s">
        <v>112</v>
      </c>
      <c r="B196" s="8" t="s">
        <v>113</v>
      </c>
      <c r="C196" s="8">
        <v>2.6920670798166402</v>
      </c>
      <c r="D196" s="9">
        <v>2.4815023096549801E-5</v>
      </c>
      <c r="E196" s="10">
        <v>-2.3801174798292299</v>
      </c>
      <c r="F196" s="13">
        <v>4.3297477260679399E-19</v>
      </c>
    </row>
    <row r="197" spans="1:6" x14ac:dyDescent="0.2">
      <c r="A197" s="8" t="s">
        <v>274</v>
      </c>
      <c r="B197" s="8" t="s">
        <v>275</v>
      </c>
      <c r="C197" s="8">
        <v>-2.23709523051807</v>
      </c>
      <c r="D197" s="8">
        <v>2.53373837850276E-2</v>
      </c>
      <c r="E197" s="10">
        <v>2.8040051587015302</v>
      </c>
      <c r="F197" s="10">
        <v>1.2394954227436901E-4</v>
      </c>
    </row>
    <row r="198" spans="1:6" x14ac:dyDescent="0.2">
      <c r="A198" s="8" t="s">
        <v>388</v>
      </c>
      <c r="B198" s="8" t="s">
        <v>389</v>
      </c>
      <c r="C198" s="8">
        <v>1.1798739380927199</v>
      </c>
      <c r="D198" s="8">
        <v>3.3459104148184999E-4</v>
      </c>
      <c r="E198" s="10">
        <v>1.6926011001927801</v>
      </c>
      <c r="F198" s="13">
        <v>1.10172899900108E-6</v>
      </c>
    </row>
    <row r="199" spans="1:6" x14ac:dyDescent="0.2">
      <c r="A199" s="8" t="s">
        <v>486</v>
      </c>
      <c r="B199" s="8" t="s">
        <v>487</v>
      </c>
      <c r="C199" s="8">
        <v>1.14863599665656</v>
      </c>
      <c r="D199" s="8">
        <v>7.8410636291402003E-4</v>
      </c>
      <c r="E199" s="10">
        <v>-1.1624262357413999</v>
      </c>
      <c r="F199" s="13">
        <v>3.9545915457128201E-6</v>
      </c>
    </row>
    <row r="200" spans="1:6" x14ac:dyDescent="0.2">
      <c r="A200" s="8" t="s">
        <v>1112</v>
      </c>
      <c r="B200" s="8" t="s">
        <v>1113</v>
      </c>
      <c r="C200" s="8">
        <v>2.1642609578558201</v>
      </c>
      <c r="D200" s="8">
        <v>6.8128431056799395E-4</v>
      </c>
      <c r="E200" s="10">
        <v>-2.8815782424879601</v>
      </c>
      <c r="F200" s="13">
        <v>4.6056484708668999E-11</v>
      </c>
    </row>
    <row r="201" spans="1:6" x14ac:dyDescent="0.2">
      <c r="A201" s="8" t="s">
        <v>484</v>
      </c>
      <c r="B201" s="8" t="s">
        <v>485</v>
      </c>
      <c r="C201" s="8">
        <v>-1.2152150472474701</v>
      </c>
      <c r="D201" s="8">
        <v>1.83311598275071E-3</v>
      </c>
      <c r="E201" s="10">
        <v>-1.7581663124629301</v>
      </c>
      <c r="F201" s="13">
        <v>5.4056064649082495E-10</v>
      </c>
    </row>
    <row r="202" spans="1:6" x14ac:dyDescent="0.2">
      <c r="A202" s="8" t="s">
        <v>438</v>
      </c>
      <c r="B202" s="8" t="s">
        <v>439</v>
      </c>
      <c r="C202" s="8">
        <v>1.31742553153839</v>
      </c>
      <c r="D202" s="8">
        <v>3.5620086360369597E-2</v>
      </c>
      <c r="E202" s="10">
        <v>-3.4148111774133501</v>
      </c>
      <c r="F202" s="13">
        <v>1.16869538355825E-9</v>
      </c>
    </row>
    <row r="203" spans="1:6" x14ac:dyDescent="0.2">
      <c r="A203" s="8" t="s">
        <v>992</v>
      </c>
      <c r="B203" s="8" t="s">
        <v>993</v>
      </c>
      <c r="C203" s="8">
        <v>-1.4903270728618601</v>
      </c>
      <c r="D203" s="8">
        <v>4.9988199986636998E-2</v>
      </c>
      <c r="E203" s="10">
        <v>1.60391551973427</v>
      </c>
      <c r="F203" s="13">
        <v>1.85289712825061E-5</v>
      </c>
    </row>
    <row r="204" spans="1:6" x14ac:dyDescent="0.2">
      <c r="A204" s="8" t="s">
        <v>18</v>
      </c>
      <c r="B204" s="8" t="s">
        <v>19</v>
      </c>
      <c r="C204" s="8">
        <v>-1.6860422457505799</v>
      </c>
      <c r="D204" s="8">
        <v>7.3179544431343502E-3</v>
      </c>
      <c r="E204" s="10">
        <v>1.9246208069652599</v>
      </c>
      <c r="F204" s="10">
        <v>5.8856125230371398E-3</v>
      </c>
    </row>
    <row r="205" spans="1:6" x14ac:dyDescent="0.2">
      <c r="A205" s="8" t="s">
        <v>666</v>
      </c>
      <c r="B205" s="8" t="s">
        <v>667</v>
      </c>
      <c r="C205" s="8">
        <v>-2.59490018981632</v>
      </c>
      <c r="D205" s="8">
        <v>9.8124563369318294E-4</v>
      </c>
      <c r="E205" s="10">
        <v>2.1229020903949301</v>
      </c>
      <c r="F205" s="10">
        <v>3.65240115947656E-3</v>
      </c>
    </row>
    <row r="206" spans="1:6" x14ac:dyDescent="0.2">
      <c r="A206" s="8" t="s">
        <v>1178</v>
      </c>
      <c r="B206" s="8" t="s">
        <v>1179</v>
      </c>
      <c r="C206" s="8">
        <v>-2.7283330016685898</v>
      </c>
      <c r="D206" s="8">
        <v>8.0248616977557606E-3</v>
      </c>
      <c r="E206" s="10">
        <v>5.6724241722472799</v>
      </c>
      <c r="F206" s="13">
        <v>6.0018011966419799E-13</v>
      </c>
    </row>
    <row r="207" spans="1:6" x14ac:dyDescent="0.2">
      <c r="A207" s="8" t="s">
        <v>1180</v>
      </c>
      <c r="B207" s="8" t="s">
        <v>1181</v>
      </c>
      <c r="C207" s="8">
        <v>-3.0808504867113302</v>
      </c>
      <c r="D207" s="8">
        <v>3.15015303412922E-3</v>
      </c>
      <c r="E207" s="10">
        <v>8.9168895666801298</v>
      </c>
      <c r="F207" s="13">
        <v>1.11211286056817E-9</v>
      </c>
    </row>
    <row r="208" spans="1:6" x14ac:dyDescent="0.2">
      <c r="A208" s="8" t="s">
        <v>248</v>
      </c>
      <c r="B208" s="8" t="s">
        <v>249</v>
      </c>
      <c r="C208" s="8">
        <v>-1.6944831724618299</v>
      </c>
      <c r="D208" s="8">
        <v>6.62873693520428E-3</v>
      </c>
      <c r="E208" s="10">
        <v>10.5392833629487</v>
      </c>
      <c r="F208" s="13">
        <v>2.0834105937207101E-135</v>
      </c>
    </row>
    <row r="209" spans="1:6" x14ac:dyDescent="0.2">
      <c r="A209" s="8" t="s">
        <v>82</v>
      </c>
      <c r="B209" s="8" t="s">
        <v>83</v>
      </c>
      <c r="C209" s="8">
        <v>1.1359340352756599</v>
      </c>
      <c r="D209" s="8">
        <v>1.8539592848532301E-2</v>
      </c>
      <c r="E209" s="10">
        <v>-1.3280054313906999</v>
      </c>
      <c r="F209" s="10">
        <v>8.3243166427232704E-3</v>
      </c>
    </row>
    <row r="210" spans="1:6" x14ac:dyDescent="0.2">
      <c r="A210" s="8" t="s">
        <v>1210</v>
      </c>
      <c r="B210" s="8" t="s">
        <v>1211</v>
      </c>
      <c r="C210" s="8">
        <v>1.21007719632128</v>
      </c>
      <c r="D210" s="8">
        <v>8.7524835435234902E-3</v>
      </c>
      <c r="E210" s="10">
        <v>-1.8822729582483</v>
      </c>
      <c r="F210" s="13">
        <v>7.8345835864615397E-6</v>
      </c>
    </row>
    <row r="211" spans="1:6" x14ac:dyDescent="0.2">
      <c r="A211" s="8" t="s">
        <v>662</v>
      </c>
      <c r="B211" s="8" t="s">
        <v>663</v>
      </c>
      <c r="C211" s="8">
        <v>-1.90227656111846</v>
      </c>
      <c r="D211" s="8">
        <v>4.8611252481727797E-2</v>
      </c>
      <c r="E211" s="10">
        <v>3.4005708560408401</v>
      </c>
      <c r="F211" s="10">
        <v>4.2001379683200097E-3</v>
      </c>
    </row>
    <row r="212" spans="1:6" x14ac:dyDescent="0.2">
      <c r="A212" s="8" t="s">
        <v>514</v>
      </c>
      <c r="B212" s="8" t="s">
        <v>515</v>
      </c>
      <c r="C212" s="8">
        <v>-1.3250673260111401</v>
      </c>
      <c r="D212" s="8">
        <v>3.3701936471023299E-2</v>
      </c>
      <c r="E212" s="10">
        <v>3.41513806548368</v>
      </c>
      <c r="F212" s="13">
        <v>2.3984131296025999E-16</v>
      </c>
    </row>
    <row r="213" spans="1:6" x14ac:dyDescent="0.2">
      <c r="A213" s="8" t="s">
        <v>1132</v>
      </c>
      <c r="B213" s="8" t="s">
        <v>1133</v>
      </c>
      <c r="C213" s="8">
        <v>-1.71246310392587</v>
      </c>
      <c r="D213" s="8">
        <v>2.1718924289911498E-3</v>
      </c>
      <c r="E213" s="10">
        <v>6.2254496341223504</v>
      </c>
      <c r="F213" s="13">
        <v>2.40406191280463E-105</v>
      </c>
    </row>
    <row r="214" spans="1:6" x14ac:dyDescent="0.2">
      <c r="A214" s="8" t="s">
        <v>560</v>
      </c>
      <c r="B214" s="8" t="s">
        <v>561</v>
      </c>
      <c r="C214" s="8">
        <v>-1.70770293037777</v>
      </c>
      <c r="D214" s="8">
        <v>8.1901114846090594E-3</v>
      </c>
      <c r="E214" s="10">
        <v>-1.6081211584644399</v>
      </c>
      <c r="F214" s="10">
        <v>2.35978536111107E-4</v>
      </c>
    </row>
    <row r="215" spans="1:6" x14ac:dyDescent="0.2">
      <c r="A215" s="8" t="s">
        <v>628</v>
      </c>
      <c r="B215" s="8" t="s">
        <v>629</v>
      </c>
      <c r="C215" s="8">
        <v>-1.08945450032842</v>
      </c>
      <c r="D215" s="8">
        <v>1.05364314653257E-2</v>
      </c>
      <c r="E215" s="10">
        <v>6.6277265620264396</v>
      </c>
      <c r="F215" s="13">
        <v>7.5314492362743502E-57</v>
      </c>
    </row>
    <row r="216" spans="1:6" x14ac:dyDescent="0.2">
      <c r="A216" s="8" t="s">
        <v>494</v>
      </c>
      <c r="B216" s="8" t="s">
        <v>495</v>
      </c>
      <c r="C216" s="8">
        <v>1.84735405364574</v>
      </c>
      <c r="D216" s="8">
        <v>2.1160035957959299E-2</v>
      </c>
      <c r="E216" s="10">
        <v>-3.5929191737200901</v>
      </c>
      <c r="F216" s="13">
        <v>4.9630408920141802E-24</v>
      </c>
    </row>
    <row r="217" spans="1:6" x14ac:dyDescent="0.2">
      <c r="A217" s="8" t="s">
        <v>1226</v>
      </c>
      <c r="B217" s="8" t="s">
        <v>1227</v>
      </c>
      <c r="C217" s="8">
        <v>-1.99140645212453</v>
      </c>
      <c r="D217" s="8">
        <v>7.6171065500483404E-3</v>
      </c>
      <c r="E217" s="10">
        <v>6.0095524113146803</v>
      </c>
      <c r="F217" s="10">
        <v>2.20309234244074E-4</v>
      </c>
    </row>
    <row r="218" spans="1:6" x14ac:dyDescent="0.2">
      <c r="A218" s="8" t="s">
        <v>270</v>
      </c>
      <c r="B218" s="8" t="s">
        <v>271</v>
      </c>
      <c r="C218" s="8">
        <v>1.69822267295921</v>
      </c>
      <c r="D218" s="8">
        <v>1.8512795735733901E-4</v>
      </c>
      <c r="E218" s="10">
        <v>-1.23635403192404</v>
      </c>
      <c r="F218" s="13">
        <v>2.2690784757228599E-5</v>
      </c>
    </row>
    <row r="219" spans="1:6" x14ac:dyDescent="0.2">
      <c r="A219" s="8" t="s">
        <v>1104</v>
      </c>
      <c r="B219" s="8" t="s">
        <v>1105</v>
      </c>
      <c r="C219" s="8">
        <v>-1.8609766114989801</v>
      </c>
      <c r="D219" s="8">
        <v>7.4218516346313901E-3</v>
      </c>
      <c r="E219" s="10">
        <v>4.8073568576300598</v>
      </c>
      <c r="F219" s="10">
        <v>3.1090805679879401E-4</v>
      </c>
    </row>
    <row r="220" spans="1:6" x14ac:dyDescent="0.2">
      <c r="A220" s="8" t="s">
        <v>556</v>
      </c>
      <c r="B220" s="8" t="s">
        <v>557</v>
      </c>
      <c r="C220" s="8">
        <v>1.5672172352101901</v>
      </c>
      <c r="D220" s="8">
        <v>5.8377608054910003E-3</v>
      </c>
      <c r="E220" s="10">
        <v>-5.2036410992621001</v>
      </c>
      <c r="F220" s="13">
        <v>7.2344816608391197E-12</v>
      </c>
    </row>
    <row r="221" spans="1:6" x14ac:dyDescent="0.2">
      <c r="A221" s="8" t="s">
        <v>184</v>
      </c>
      <c r="B221" s="8" t="s">
        <v>185</v>
      </c>
      <c r="C221" s="8">
        <v>1.11065635747094</v>
      </c>
      <c r="D221" s="8">
        <v>2.0693569805432199E-2</v>
      </c>
      <c r="E221" s="10">
        <v>-2.3662306676729701</v>
      </c>
      <c r="F221" s="13">
        <v>3.1809324123310999E-7</v>
      </c>
    </row>
    <row r="222" spans="1:6" x14ac:dyDescent="0.2">
      <c r="A222" s="8" t="s">
        <v>1050</v>
      </c>
      <c r="B222" s="8" t="s">
        <v>1051</v>
      </c>
      <c r="C222" s="8">
        <v>-1.44998356380423</v>
      </c>
      <c r="D222" s="8">
        <v>2.2452814017944599E-2</v>
      </c>
      <c r="E222" s="10">
        <v>-1.9071824057593401</v>
      </c>
      <c r="F222" s="13">
        <v>1.9665223078307299E-8</v>
      </c>
    </row>
    <row r="223" spans="1:6" x14ac:dyDescent="0.2">
      <c r="A223" s="8" t="s">
        <v>1162</v>
      </c>
      <c r="B223" s="8" t="s">
        <v>1163</v>
      </c>
      <c r="C223" s="8">
        <v>-1.6170225816358299</v>
      </c>
      <c r="D223" s="8">
        <v>7.5990976249849301E-3</v>
      </c>
      <c r="E223" s="10">
        <v>2.42471964060113</v>
      </c>
      <c r="F223" s="13">
        <v>2.9403991085737299E-7</v>
      </c>
    </row>
    <row r="224" spans="1:6" x14ac:dyDescent="0.2">
      <c r="A224" s="8" t="s">
        <v>824</v>
      </c>
      <c r="B224" s="8" t="s">
        <v>825</v>
      </c>
      <c r="C224" s="8">
        <v>-1.33764061322175</v>
      </c>
      <c r="D224" s="8">
        <v>2.9011004136695901E-2</v>
      </c>
      <c r="E224" s="10">
        <v>2.8668320624364001</v>
      </c>
      <c r="F224" s="13">
        <v>2.0558450194104899E-16</v>
      </c>
    </row>
    <row r="225" spans="1:6" x14ac:dyDescent="0.2">
      <c r="A225" s="8" t="s">
        <v>590</v>
      </c>
      <c r="B225" s="8" t="s">
        <v>591</v>
      </c>
      <c r="C225" s="8">
        <v>-1.3079752580316999</v>
      </c>
      <c r="D225" s="8">
        <v>7.7178255947911003E-3</v>
      </c>
      <c r="E225" s="10">
        <v>1.7378857064112401</v>
      </c>
      <c r="F225" s="13">
        <v>1.20371742211916E-7</v>
      </c>
    </row>
    <row r="226" spans="1:6" x14ac:dyDescent="0.2">
      <c r="A226" s="8" t="s">
        <v>1002</v>
      </c>
      <c r="B226" s="8" t="s">
        <v>1003</v>
      </c>
      <c r="C226" s="8">
        <v>-2.4092781931265801</v>
      </c>
      <c r="D226" s="8">
        <v>1.34635276333567E-2</v>
      </c>
      <c r="E226" s="10">
        <v>1.61591383534802</v>
      </c>
      <c r="F226" s="10">
        <v>5.1857096867426603E-3</v>
      </c>
    </row>
    <row r="227" spans="1:6" x14ac:dyDescent="0.2">
      <c r="A227" s="8" t="s">
        <v>546</v>
      </c>
      <c r="B227" s="8" t="s">
        <v>547</v>
      </c>
      <c r="C227" s="8">
        <v>1.62297041699593</v>
      </c>
      <c r="D227" s="8">
        <v>1.3376678725855501E-4</v>
      </c>
      <c r="E227" s="10">
        <v>-2.5032381658807701</v>
      </c>
      <c r="F227" s="13">
        <v>2.6535056145780902E-24</v>
      </c>
    </row>
    <row r="228" spans="1:6" x14ac:dyDescent="0.2">
      <c r="A228" s="8" t="s">
        <v>676</v>
      </c>
      <c r="B228" s="8" t="s">
        <v>677</v>
      </c>
      <c r="C228" s="8">
        <v>-1.3272863527716301</v>
      </c>
      <c r="D228" s="8">
        <v>3.4727467832365001E-2</v>
      </c>
      <c r="E228" s="10">
        <v>7.4229460690134603</v>
      </c>
      <c r="F228" s="13">
        <v>2.3186761694585301E-96</v>
      </c>
    </row>
    <row r="229" spans="1:6" x14ac:dyDescent="0.2">
      <c r="A229" s="8" t="s">
        <v>16</v>
      </c>
      <c r="B229" s="8" t="s">
        <v>17</v>
      </c>
      <c r="C229" s="8">
        <v>-1.6812818381246599</v>
      </c>
      <c r="D229" s="8">
        <v>3.6235237598849598E-2</v>
      </c>
      <c r="E229" s="10">
        <v>9.1534150860101295</v>
      </c>
      <c r="F229" s="13">
        <v>3.9054943571054798E-25</v>
      </c>
    </row>
    <row r="230" spans="1:6" x14ac:dyDescent="0.2">
      <c r="A230" s="8" t="s">
        <v>978</v>
      </c>
      <c r="B230" s="8" t="s">
        <v>979</v>
      </c>
      <c r="C230" s="8">
        <v>1.5242849898677799</v>
      </c>
      <c r="D230" s="8">
        <v>2.8528853878857001E-2</v>
      </c>
      <c r="E230" s="10">
        <v>-3.0266573420613199</v>
      </c>
      <c r="F230" s="13">
        <v>9.7804264808780105E-6</v>
      </c>
    </row>
    <row r="231" spans="1:6" x14ac:dyDescent="0.2">
      <c r="A231" s="8" t="s">
        <v>726</v>
      </c>
      <c r="B231" s="8" t="s">
        <v>727</v>
      </c>
      <c r="C231" s="8">
        <v>-1.58913381790283</v>
      </c>
      <c r="D231" s="8">
        <v>3.3595131994345398E-3</v>
      </c>
      <c r="E231" s="10">
        <v>5.6846622560613902</v>
      </c>
      <c r="F231" s="13">
        <v>3.5678392445759202E-30</v>
      </c>
    </row>
    <row r="232" spans="1:6" x14ac:dyDescent="0.2">
      <c r="A232" s="8" t="s">
        <v>1100</v>
      </c>
      <c r="B232" s="8" t="s">
        <v>1101</v>
      </c>
      <c r="C232" s="8">
        <v>-1.46288964230715</v>
      </c>
      <c r="D232" s="8">
        <v>5.0060437198342397E-4</v>
      </c>
      <c r="E232" s="10">
        <v>2.2930631953203902</v>
      </c>
      <c r="F232" s="13">
        <v>2.0454772050784702E-9</v>
      </c>
    </row>
    <row r="233" spans="1:6" x14ac:dyDescent="0.2">
      <c r="A233" s="8" t="s">
        <v>246</v>
      </c>
      <c r="B233" s="8" t="s">
        <v>247</v>
      </c>
      <c r="C233" s="8">
        <v>-1.2498824224687599</v>
      </c>
      <c r="D233" s="8">
        <v>3.2327725419247201E-2</v>
      </c>
      <c r="E233" s="10">
        <v>3.12754921582283</v>
      </c>
      <c r="F233" s="13">
        <v>4.7117844108506898E-14</v>
      </c>
    </row>
    <row r="234" spans="1:6" x14ac:dyDescent="0.2">
      <c r="A234" s="8" t="s">
        <v>880</v>
      </c>
      <c r="B234" s="8" t="s">
        <v>881</v>
      </c>
      <c r="C234" s="8">
        <v>-2.0543405978518798</v>
      </c>
      <c r="D234" s="8">
        <v>6.1560872039308203E-3</v>
      </c>
      <c r="E234" s="10">
        <v>6.4632775684627797</v>
      </c>
      <c r="F234" s="13">
        <v>1.7359623292135E-8</v>
      </c>
    </row>
    <row r="235" spans="1:6" x14ac:dyDescent="0.2">
      <c r="A235" s="8" t="s">
        <v>1186</v>
      </c>
      <c r="B235" s="8" t="s">
        <v>1187</v>
      </c>
      <c r="C235" s="8">
        <v>-1.5585658661214701</v>
      </c>
      <c r="D235" s="8">
        <v>2.4258058174199799E-3</v>
      </c>
      <c r="E235" s="10">
        <v>-2.5887193330248</v>
      </c>
      <c r="F235" s="13">
        <v>4.0677742486304697E-9</v>
      </c>
    </row>
    <row r="236" spans="1:6" x14ac:dyDescent="0.2">
      <c r="A236" s="8" t="s">
        <v>596</v>
      </c>
      <c r="B236" s="8" t="s">
        <v>597</v>
      </c>
      <c r="C236" s="8">
        <v>-1.10729103786475</v>
      </c>
      <c r="D236" s="8">
        <v>3.32374804730656E-2</v>
      </c>
      <c r="E236" s="10">
        <v>6.6487861351161399</v>
      </c>
      <c r="F236" s="13">
        <v>6.1559422021432403E-9</v>
      </c>
    </row>
    <row r="237" spans="1:6" x14ac:dyDescent="0.2">
      <c r="A237" s="8" t="s">
        <v>802</v>
      </c>
      <c r="B237" s="8" t="s">
        <v>803</v>
      </c>
      <c r="C237" s="8">
        <v>-1.057883727726</v>
      </c>
      <c r="D237" s="8">
        <v>3.6191392008032299E-3</v>
      </c>
      <c r="E237" s="10">
        <v>1.4328092086945701</v>
      </c>
      <c r="F237" s="13">
        <v>1.56794961372575E-9</v>
      </c>
    </row>
    <row r="238" spans="1:6" x14ac:dyDescent="0.2">
      <c r="A238" s="8" t="s">
        <v>400</v>
      </c>
      <c r="B238" s="8" t="s">
        <v>401</v>
      </c>
      <c r="C238" s="8">
        <v>3.52449524431848</v>
      </c>
      <c r="D238" s="9">
        <v>5.8299342986879599E-5</v>
      </c>
      <c r="E238" s="10">
        <v>1.57559101188587</v>
      </c>
      <c r="F238" s="13">
        <v>5.4720193698763299E-8</v>
      </c>
    </row>
    <row r="239" spans="1:6" x14ac:dyDescent="0.2">
      <c r="A239" s="8" t="s">
        <v>256</v>
      </c>
      <c r="B239" s="8" t="s">
        <v>257</v>
      </c>
      <c r="C239" s="8">
        <v>2.0982820584158999</v>
      </c>
      <c r="D239" s="8">
        <v>3.6588592962154802E-4</v>
      </c>
      <c r="E239" s="10">
        <v>-2.0723854258929602</v>
      </c>
      <c r="F239" s="13">
        <v>5.6356752392005399E-6</v>
      </c>
    </row>
    <row r="240" spans="1:6" x14ac:dyDescent="0.2">
      <c r="A240" s="8" t="s">
        <v>204</v>
      </c>
      <c r="B240" s="8" t="s">
        <v>205</v>
      </c>
      <c r="C240" s="8">
        <v>-1.87479854483497</v>
      </c>
      <c r="D240" s="8">
        <v>8.5945530260851805E-3</v>
      </c>
      <c r="E240" s="10">
        <v>-2.5267380942364799</v>
      </c>
      <c r="F240" s="13">
        <v>4.8549889607258902E-6</v>
      </c>
    </row>
    <row r="241" spans="1:6" x14ac:dyDescent="0.2">
      <c r="A241" s="8" t="s">
        <v>496</v>
      </c>
      <c r="B241" s="8" t="s">
        <v>497</v>
      </c>
      <c r="C241" s="8">
        <v>2.0919260426664299</v>
      </c>
      <c r="D241" s="8">
        <v>1.23639753275658E-2</v>
      </c>
      <c r="E241" s="10">
        <v>-1.88849820077029</v>
      </c>
      <c r="F241" s="13">
        <v>2.50716466153225E-6</v>
      </c>
    </row>
    <row r="242" spans="1:6" x14ac:dyDescent="0.2">
      <c r="A242" s="8" t="s">
        <v>668</v>
      </c>
      <c r="B242" s="8" t="s">
        <v>669</v>
      </c>
      <c r="C242" s="8">
        <v>-1.22549275356976</v>
      </c>
      <c r="D242" s="8">
        <v>4.81979169635883E-2</v>
      </c>
      <c r="E242" s="10">
        <v>2.3384651708109598</v>
      </c>
      <c r="F242" s="10">
        <v>1.05234924380492E-3</v>
      </c>
    </row>
    <row r="243" spans="1:6" x14ac:dyDescent="0.2">
      <c r="A243" s="8" t="s">
        <v>300</v>
      </c>
      <c r="B243" s="8" t="s">
        <v>301</v>
      </c>
      <c r="C243" s="8">
        <v>-1.01827180654537</v>
      </c>
      <c r="D243" s="8">
        <v>1.6008555078459399E-2</v>
      </c>
      <c r="E243" s="10">
        <v>-2.5597500470439698</v>
      </c>
      <c r="F243" s="13">
        <v>3.89799029781692E-22</v>
      </c>
    </row>
    <row r="244" spans="1:6" x14ac:dyDescent="0.2">
      <c r="A244" s="8" t="s">
        <v>1194</v>
      </c>
      <c r="B244" s="8" t="s">
        <v>1195</v>
      </c>
      <c r="C244" s="8">
        <v>-1.93465155942024</v>
      </c>
      <c r="D244" s="8">
        <v>8.5320721587565304E-3</v>
      </c>
      <c r="E244" s="10">
        <v>-2.21725933930494</v>
      </c>
      <c r="F244" s="13">
        <v>2.88568626722712E-7</v>
      </c>
    </row>
    <row r="245" spans="1:6" x14ac:dyDescent="0.2">
      <c r="A245" s="8" t="s">
        <v>926</v>
      </c>
      <c r="B245" s="8" t="s">
        <v>927</v>
      </c>
      <c r="C245" s="8">
        <v>1.8164280633127201</v>
      </c>
      <c r="D245" s="8">
        <v>5.9930446862131101E-3</v>
      </c>
      <c r="E245" s="10">
        <v>-2.6923172953124599</v>
      </c>
      <c r="F245" s="13">
        <v>7.0640689143484895E-26</v>
      </c>
    </row>
    <row r="246" spans="1:6" x14ac:dyDescent="0.2">
      <c r="A246" s="8" t="s">
        <v>154</v>
      </c>
      <c r="B246" s="8" t="s">
        <v>155</v>
      </c>
      <c r="C246" s="8">
        <v>-1.4200330935324901</v>
      </c>
      <c r="D246" s="8">
        <v>6.4503510516062904E-3</v>
      </c>
      <c r="E246" s="10">
        <v>2.48050837315443</v>
      </c>
      <c r="F246" s="13">
        <v>6.5966119338691398E-13</v>
      </c>
    </row>
    <row r="247" spans="1:6" x14ac:dyDescent="0.2">
      <c r="A247" s="8" t="s">
        <v>586</v>
      </c>
      <c r="B247" s="8" t="s">
        <v>587</v>
      </c>
      <c r="C247" s="8">
        <v>-1.9716141178295401</v>
      </c>
      <c r="D247" s="8">
        <v>3.8511094773349798E-3</v>
      </c>
      <c r="E247" s="10">
        <v>2.45220767495932</v>
      </c>
      <c r="F247" s="10">
        <v>1.0956273358536199E-3</v>
      </c>
    </row>
    <row r="248" spans="1:6" x14ac:dyDescent="0.2">
      <c r="A248" s="8" t="s">
        <v>954</v>
      </c>
      <c r="B248" s="8" t="s">
        <v>955</v>
      </c>
      <c r="C248" s="8">
        <v>-1.5359949956408001</v>
      </c>
      <c r="D248" s="8">
        <v>5.3945521952247499E-3</v>
      </c>
      <c r="E248" s="10">
        <v>2.83463758929742</v>
      </c>
      <c r="F248" s="10">
        <v>3.5651761131015998E-4</v>
      </c>
    </row>
    <row r="249" spans="1:6" x14ac:dyDescent="0.2">
      <c r="A249" s="8" t="s">
        <v>224</v>
      </c>
      <c r="B249" s="8" t="s">
        <v>225</v>
      </c>
      <c r="C249" s="8">
        <v>-1.32300766572344</v>
      </c>
      <c r="D249" s="8">
        <v>2.70092548480887E-3</v>
      </c>
      <c r="E249" s="10">
        <v>-1.13561356958617</v>
      </c>
      <c r="F249" s="10">
        <v>5.4992831579930498E-3</v>
      </c>
    </row>
    <row r="250" spans="1:6" x14ac:dyDescent="0.2">
      <c r="A250" s="8" t="s">
        <v>548</v>
      </c>
      <c r="B250" s="8" t="s">
        <v>549</v>
      </c>
      <c r="C250" s="8">
        <v>1.50531903567602</v>
      </c>
      <c r="D250" s="8">
        <v>1.2019310586230401E-3</v>
      </c>
      <c r="E250" s="10">
        <v>-1.30062787282583</v>
      </c>
      <c r="F250" s="13">
        <v>7.9323656795534795E-6</v>
      </c>
    </row>
    <row r="251" spans="1:6" x14ac:dyDescent="0.2">
      <c r="A251" s="8" t="s">
        <v>1028</v>
      </c>
      <c r="B251" s="8" t="s">
        <v>1029</v>
      </c>
      <c r="C251" s="8">
        <v>1.0815998480573099</v>
      </c>
      <c r="D251" s="8">
        <v>3.4697718862507E-3</v>
      </c>
      <c r="E251" s="10">
        <v>-2.6656403118803502</v>
      </c>
      <c r="F251" s="13">
        <v>1.48385591661605E-24</v>
      </c>
    </row>
    <row r="252" spans="1:6" x14ac:dyDescent="0.2">
      <c r="A252" s="8" t="s">
        <v>576</v>
      </c>
      <c r="B252" s="8" t="s">
        <v>577</v>
      </c>
      <c r="C252" s="8">
        <v>-1.4689231973235599</v>
      </c>
      <c r="D252" s="8">
        <v>3.1514053979870997E-2</v>
      </c>
      <c r="E252" s="10">
        <v>4.9613169395140098</v>
      </c>
      <c r="F252" s="13">
        <v>9.53940957753007E-66</v>
      </c>
    </row>
    <row r="253" spans="1:6" x14ac:dyDescent="0.2">
      <c r="A253" s="8" t="s">
        <v>64</v>
      </c>
      <c r="B253" s="8" t="s">
        <v>65</v>
      </c>
      <c r="C253" s="8">
        <v>1.33109921891626</v>
      </c>
      <c r="D253" s="8">
        <v>4.3415641520310301E-4</v>
      </c>
      <c r="E253" s="10">
        <v>-1.9247560609955101</v>
      </c>
      <c r="F253" s="13">
        <v>7.4220180274179202E-10</v>
      </c>
    </row>
    <row r="254" spans="1:6" x14ac:dyDescent="0.2">
      <c r="A254" s="8" t="s">
        <v>784</v>
      </c>
      <c r="B254" s="8" t="s">
        <v>785</v>
      </c>
      <c r="C254" s="8">
        <v>1.41016457482802</v>
      </c>
      <c r="D254" s="8">
        <v>3.8462711279056201E-4</v>
      </c>
      <c r="E254" s="10">
        <v>-1.2054747175567699</v>
      </c>
      <c r="F254" s="13">
        <v>8.9817873078054601E-7</v>
      </c>
    </row>
    <row r="255" spans="1:6" x14ac:dyDescent="0.2">
      <c r="A255" s="8" t="s">
        <v>430</v>
      </c>
      <c r="B255" s="8" t="s">
        <v>431</v>
      </c>
      <c r="C255" s="8">
        <v>-1.35816338075865</v>
      </c>
      <c r="D255" s="8">
        <v>2.1219585204680001E-2</v>
      </c>
      <c r="E255" s="10">
        <v>3.8739440244919199</v>
      </c>
      <c r="F255" s="13">
        <v>3.5625933313983198E-9</v>
      </c>
    </row>
    <row r="256" spans="1:6" x14ac:dyDescent="0.2">
      <c r="A256" s="8" t="s">
        <v>1220</v>
      </c>
      <c r="B256" s="8" t="s">
        <v>1221</v>
      </c>
      <c r="C256" s="8">
        <v>3.5377024294273101</v>
      </c>
      <c r="D256" s="8">
        <v>6.57422582307279E-3</v>
      </c>
      <c r="E256" s="10">
        <v>-2.1073347894723402</v>
      </c>
      <c r="F256" s="10">
        <v>9.2463258521089092E-3</v>
      </c>
    </row>
    <row r="257" spans="1:6" x14ac:dyDescent="0.2">
      <c r="A257" s="8" t="s">
        <v>304</v>
      </c>
      <c r="B257" s="8" t="s">
        <v>305</v>
      </c>
      <c r="C257" s="8">
        <v>2.12921451576223</v>
      </c>
      <c r="D257" s="8">
        <v>3.1403951426600601E-2</v>
      </c>
      <c r="E257" s="10">
        <v>-1.8073497914225201</v>
      </c>
      <c r="F257" s="10">
        <v>9.1533726948314696E-4</v>
      </c>
    </row>
    <row r="258" spans="1:6" x14ac:dyDescent="0.2">
      <c r="A258" s="8" t="s">
        <v>62</v>
      </c>
      <c r="B258" s="8" t="s">
        <v>63</v>
      </c>
      <c r="C258" s="8">
        <v>-1.25550817731036</v>
      </c>
      <c r="D258" s="8">
        <v>5.6642392860039997E-3</v>
      </c>
      <c r="E258" s="10">
        <v>-1.0506400891333201</v>
      </c>
      <c r="F258" s="10">
        <v>4.7849739146992298E-4</v>
      </c>
    </row>
    <row r="259" spans="1:6" x14ac:dyDescent="0.2">
      <c r="A259" s="8" t="s">
        <v>1262</v>
      </c>
      <c r="B259" s="8" t="s">
        <v>1263</v>
      </c>
      <c r="C259" s="8">
        <v>-1.1353479755996501</v>
      </c>
      <c r="D259" s="8">
        <v>7.6101247289856802E-3</v>
      </c>
      <c r="E259" s="10">
        <v>-1.0031331621719299</v>
      </c>
      <c r="F259" s="10">
        <v>1.0722053500082499E-3</v>
      </c>
    </row>
    <row r="260" spans="1:6" x14ac:dyDescent="0.2">
      <c r="A260" s="8" t="s">
        <v>308</v>
      </c>
      <c r="B260" s="8" t="s">
        <v>309</v>
      </c>
      <c r="C260" s="8">
        <v>1.1337248825016999</v>
      </c>
      <c r="D260" s="8">
        <v>2.5129347186870699E-2</v>
      </c>
      <c r="E260" s="10">
        <v>-2.0376239012025699</v>
      </c>
      <c r="F260" s="13">
        <v>9.8869232106634893E-12</v>
      </c>
    </row>
    <row r="261" spans="1:6" x14ac:dyDescent="0.2">
      <c r="A261" s="8" t="s">
        <v>1184</v>
      </c>
      <c r="B261" s="8" t="s">
        <v>1185</v>
      </c>
      <c r="C261" s="8">
        <v>-1.44020407094046</v>
      </c>
      <c r="D261" s="8">
        <v>3.6844981641651897E-2</v>
      </c>
      <c r="E261" s="10">
        <v>4.2440498267566298</v>
      </c>
      <c r="F261" s="13">
        <v>2.3291155073662701E-37</v>
      </c>
    </row>
    <row r="262" spans="1:6" x14ac:dyDescent="0.2">
      <c r="A262" s="8" t="s">
        <v>1060</v>
      </c>
      <c r="B262" s="8" t="s">
        <v>1061</v>
      </c>
      <c r="C262" s="8">
        <v>1.91387100634133</v>
      </c>
      <c r="D262" s="8">
        <v>3.68300076831813E-4</v>
      </c>
      <c r="E262" s="10">
        <v>-4.6094397782222298</v>
      </c>
      <c r="F262" s="13">
        <v>6.2766915894957703E-30</v>
      </c>
    </row>
    <row r="263" spans="1:6" x14ac:dyDescent="0.2">
      <c r="A263" s="8" t="s">
        <v>302</v>
      </c>
      <c r="B263" s="8" t="s">
        <v>303</v>
      </c>
      <c r="C263" s="8">
        <v>1.29276909203266</v>
      </c>
      <c r="D263" s="8">
        <v>7.3779334161433799E-4</v>
      </c>
      <c r="E263" s="10">
        <v>-1.1376267993157001</v>
      </c>
      <c r="F263" s="10">
        <v>3.4072949102890602E-4</v>
      </c>
    </row>
    <row r="264" spans="1:6" x14ac:dyDescent="0.2">
      <c r="A264" s="8" t="s">
        <v>594</v>
      </c>
      <c r="B264" s="8" t="s">
        <v>595</v>
      </c>
      <c r="C264" s="8">
        <v>-1.14849745798697</v>
      </c>
      <c r="D264" s="8">
        <v>3.54022830683145E-2</v>
      </c>
      <c r="E264" s="10">
        <v>1.1348619573833001</v>
      </c>
      <c r="F264" s="10">
        <v>1.01125168821727E-2</v>
      </c>
    </row>
    <row r="265" spans="1:6" x14ac:dyDescent="0.2">
      <c r="A265" s="8" t="s">
        <v>570</v>
      </c>
      <c r="B265" s="8" t="s">
        <v>571</v>
      </c>
      <c r="C265" s="8">
        <v>-1.2837873588647499</v>
      </c>
      <c r="D265" s="8">
        <v>1.7596215255067601E-2</v>
      </c>
      <c r="E265" s="10">
        <v>3.6630238587841499</v>
      </c>
      <c r="F265" s="13">
        <v>1.07825088766984E-35</v>
      </c>
    </row>
    <row r="266" spans="1:6" x14ac:dyDescent="0.2">
      <c r="A266" s="8" t="s">
        <v>138</v>
      </c>
      <c r="B266" s="8" t="s">
        <v>139</v>
      </c>
      <c r="C266" s="8">
        <v>-1.0677270915485499</v>
      </c>
      <c r="D266" s="8">
        <v>9.3869314562917896E-4</v>
      </c>
      <c r="E266" s="10">
        <v>-1.4303985435333699</v>
      </c>
      <c r="F266" s="13">
        <v>1.7329927753461301E-5</v>
      </c>
    </row>
    <row r="267" spans="1:6" x14ac:dyDescent="0.2">
      <c r="A267" s="8" t="s">
        <v>994</v>
      </c>
      <c r="B267" s="8" t="s">
        <v>995</v>
      </c>
      <c r="C267" s="8">
        <v>-2.5024957023582801</v>
      </c>
      <c r="D267" s="8">
        <v>4.0185830997563399E-2</v>
      </c>
      <c r="E267" s="10">
        <v>5.2377508519837797</v>
      </c>
      <c r="F267" s="10">
        <v>2.6624867215667499E-3</v>
      </c>
    </row>
    <row r="268" spans="1:6" x14ac:dyDescent="0.2">
      <c r="A268" s="8" t="s">
        <v>362</v>
      </c>
      <c r="B268" s="8" t="s">
        <v>363</v>
      </c>
      <c r="C268" s="8">
        <v>-1.88846901792963</v>
      </c>
      <c r="D268" s="8">
        <v>1.42027345226424E-2</v>
      </c>
      <c r="E268" s="10">
        <v>5.50973690271457</v>
      </c>
      <c r="F268" s="13">
        <v>2.4225807078582599E-74</v>
      </c>
    </row>
    <row r="269" spans="1:6" x14ac:dyDescent="0.2">
      <c r="A269" s="8" t="s">
        <v>364</v>
      </c>
      <c r="B269" s="8" t="s">
        <v>365</v>
      </c>
      <c r="C269" s="8">
        <v>-1.0092467788016799</v>
      </c>
      <c r="D269" s="8">
        <v>6.9150744631727497E-4</v>
      </c>
      <c r="E269" s="10">
        <v>1.4584813703443</v>
      </c>
      <c r="F269" s="13">
        <v>9.5955963710752004E-8</v>
      </c>
    </row>
    <row r="270" spans="1:6" x14ac:dyDescent="0.2">
      <c r="A270" s="8" t="s">
        <v>96</v>
      </c>
      <c r="B270" s="8" t="s">
        <v>97</v>
      </c>
      <c r="C270" s="8">
        <v>1.94899333851307</v>
      </c>
      <c r="D270" s="8">
        <v>4.1318055723386102E-3</v>
      </c>
      <c r="E270" s="10">
        <v>-2.17318731111463</v>
      </c>
      <c r="F270" s="10">
        <v>7.2594240103789499E-3</v>
      </c>
    </row>
    <row r="271" spans="1:6" x14ac:dyDescent="0.2">
      <c r="A271" s="8" t="s">
        <v>98</v>
      </c>
      <c r="B271" s="8" t="s">
        <v>99</v>
      </c>
      <c r="C271" s="8">
        <v>-1.83590482910942</v>
      </c>
      <c r="D271" s="8">
        <v>1.6978258465765499E-2</v>
      </c>
      <c r="E271" s="10">
        <v>10.848386546088101</v>
      </c>
      <c r="F271" s="13">
        <v>2.8340615576268102E-13</v>
      </c>
    </row>
    <row r="272" spans="1:6" x14ac:dyDescent="0.2">
      <c r="A272" s="8" t="s">
        <v>312</v>
      </c>
      <c r="B272" s="8" t="s">
        <v>313</v>
      </c>
      <c r="C272" s="8">
        <v>2.8560187071552798</v>
      </c>
      <c r="D272" s="8">
        <v>4.7452658849056004E-3</v>
      </c>
      <c r="E272" s="10">
        <v>-1.8802489719094999</v>
      </c>
      <c r="F272" s="13">
        <v>5.4256815834019799E-10</v>
      </c>
    </row>
    <row r="273" spans="1:6" x14ac:dyDescent="0.2">
      <c r="A273" s="8" t="s">
        <v>310</v>
      </c>
      <c r="B273" s="8" t="s">
        <v>311</v>
      </c>
      <c r="C273" s="8">
        <v>2.8341264640552599</v>
      </c>
      <c r="D273" s="8">
        <v>1.04762855679548E-2</v>
      </c>
      <c r="E273" s="10">
        <v>-1.8411792482852201</v>
      </c>
      <c r="F273" s="13">
        <v>2.2969749260505599E-11</v>
      </c>
    </row>
    <row r="274" spans="1:6" x14ac:dyDescent="0.2">
      <c r="A274" s="8" t="s">
        <v>672</v>
      </c>
      <c r="B274" s="8" t="s">
        <v>673</v>
      </c>
      <c r="C274" s="8">
        <v>-1.82205556472319</v>
      </c>
      <c r="D274" s="8">
        <v>5.8707218937050099E-3</v>
      </c>
      <c r="E274" s="10">
        <v>1.7560118849244599</v>
      </c>
      <c r="F274" s="13">
        <v>7.45483049114744E-10</v>
      </c>
    </row>
    <row r="275" spans="1:6" x14ac:dyDescent="0.2">
      <c r="A275" s="8" t="s">
        <v>314</v>
      </c>
      <c r="B275" s="8" t="s">
        <v>315</v>
      </c>
      <c r="C275" s="8">
        <v>2.81228310917002</v>
      </c>
      <c r="D275" s="8">
        <v>7.2677763111133799E-3</v>
      </c>
      <c r="E275" s="10">
        <v>-2.3528834736201198</v>
      </c>
      <c r="F275" s="13">
        <v>1.0127168762757199E-13</v>
      </c>
    </row>
    <row r="276" spans="1:6" x14ac:dyDescent="0.2">
      <c r="A276" s="8" t="s">
        <v>168</v>
      </c>
      <c r="B276" s="8" t="s">
        <v>169</v>
      </c>
      <c r="C276" s="8">
        <v>2.14681676730588</v>
      </c>
      <c r="D276" s="8">
        <v>4.7688624733534702E-4</v>
      </c>
      <c r="E276" s="10">
        <v>1.7335697195122199</v>
      </c>
      <c r="F276" s="13">
        <v>9.2199019288225503E-9</v>
      </c>
    </row>
    <row r="277" spans="1:6" x14ac:dyDescent="0.2">
      <c r="A277" s="8" t="s">
        <v>178</v>
      </c>
      <c r="B277" s="8" t="s">
        <v>179</v>
      </c>
      <c r="C277" s="8">
        <v>1.9461213707024201</v>
      </c>
      <c r="D277" s="8">
        <v>3.6294969727265198E-3</v>
      </c>
      <c r="E277" s="10">
        <v>-1.8245281653727401</v>
      </c>
      <c r="F277" s="13">
        <v>6.2599333314814606E-11</v>
      </c>
    </row>
    <row r="278" spans="1:6" x14ac:dyDescent="0.2">
      <c r="A278" s="8" t="s">
        <v>778</v>
      </c>
      <c r="B278" s="8" t="s">
        <v>779</v>
      </c>
      <c r="C278" s="8">
        <v>-1.55920491939682</v>
      </c>
      <c r="D278" s="8">
        <v>1.9845613412281402E-2</v>
      </c>
      <c r="E278" s="10">
        <v>-1.6499941694782401</v>
      </c>
      <c r="F278" s="10">
        <v>5.6218592537233603E-4</v>
      </c>
    </row>
    <row r="279" spans="1:6" x14ac:dyDescent="0.2">
      <c r="A279" s="8" t="s">
        <v>1278</v>
      </c>
      <c r="B279" s="8" t="s">
        <v>1279</v>
      </c>
      <c r="C279" s="8">
        <v>1.1300542551155801</v>
      </c>
      <c r="D279" s="8">
        <v>1.9796626478613698E-2</v>
      </c>
      <c r="E279" s="10">
        <v>-1.0162075571303999</v>
      </c>
      <c r="F279" s="13">
        <v>9.3587385206990394E-5</v>
      </c>
    </row>
    <row r="280" spans="1:6" x14ac:dyDescent="0.2">
      <c r="A280" s="8" t="s">
        <v>860</v>
      </c>
      <c r="B280" s="8" t="s">
        <v>861</v>
      </c>
      <c r="C280" s="8">
        <v>-1.18317356508488</v>
      </c>
      <c r="D280" s="8">
        <v>9.6826283343650101E-3</v>
      </c>
      <c r="E280" s="10">
        <v>2.5613238438066901</v>
      </c>
      <c r="F280" s="13">
        <v>8.2394671385721801E-24</v>
      </c>
    </row>
    <row r="281" spans="1:6" x14ac:dyDescent="0.2">
      <c r="A281" s="8" t="s">
        <v>74</v>
      </c>
      <c r="B281" s="8" t="s">
        <v>75</v>
      </c>
      <c r="C281" s="8">
        <v>2.8613151596048101</v>
      </c>
      <c r="D281" s="8">
        <v>4.7176853403785501E-3</v>
      </c>
      <c r="E281" s="10">
        <v>-1.6525305980371401</v>
      </c>
      <c r="F281" s="13">
        <v>1.22749104495195E-9</v>
      </c>
    </row>
    <row r="282" spans="1:6" x14ac:dyDescent="0.2">
      <c r="A282" s="8" t="s">
        <v>394</v>
      </c>
      <c r="B282" s="8" t="s">
        <v>395</v>
      </c>
      <c r="C282" s="8">
        <v>-1.30714354672016</v>
      </c>
      <c r="D282" s="8">
        <v>1.7730019840156101E-2</v>
      </c>
      <c r="E282" s="10">
        <v>-2.8723562205454098</v>
      </c>
      <c r="F282" s="13">
        <v>8.5236565098808701E-6</v>
      </c>
    </row>
    <row r="283" spans="1:6" x14ac:dyDescent="0.2">
      <c r="A283" s="8" t="s">
        <v>582</v>
      </c>
      <c r="B283" s="8" t="s">
        <v>583</v>
      </c>
      <c r="C283" s="8">
        <v>1.9878807877154001</v>
      </c>
      <c r="D283" s="8">
        <v>2.9622915988749499E-2</v>
      </c>
      <c r="E283" s="10">
        <v>-3.6968814055550698</v>
      </c>
      <c r="F283" s="13">
        <v>3.7315247373767301E-46</v>
      </c>
    </row>
    <row r="284" spans="1:6" x14ac:dyDescent="0.2">
      <c r="A284" s="8" t="s">
        <v>640</v>
      </c>
      <c r="B284" s="8" t="s">
        <v>641</v>
      </c>
      <c r="C284" s="8">
        <v>-1.3780367619987199</v>
      </c>
      <c r="D284" s="8">
        <v>9.8177262240571501E-3</v>
      </c>
      <c r="E284" s="10">
        <v>3.6564741251621</v>
      </c>
      <c r="F284" s="13">
        <v>4.1709616645619602E-7</v>
      </c>
    </row>
    <row r="285" spans="1:6" x14ac:dyDescent="0.2">
      <c r="A285" s="8" t="s">
        <v>316</v>
      </c>
      <c r="B285" s="8" t="s">
        <v>317</v>
      </c>
      <c r="C285" s="8">
        <v>1.0494470980558399</v>
      </c>
      <c r="D285" s="8">
        <v>3.2795483118525599E-2</v>
      </c>
      <c r="E285" s="10">
        <v>2.4160774630642798</v>
      </c>
      <c r="F285" s="13">
        <v>6.2241778697194605E-5</v>
      </c>
    </row>
    <row r="286" spans="1:6" x14ac:dyDescent="0.2">
      <c r="A286" s="8" t="s">
        <v>602</v>
      </c>
      <c r="B286" s="8" t="s">
        <v>603</v>
      </c>
      <c r="C286" s="8">
        <v>1.1363429320027101</v>
      </c>
      <c r="D286" s="8">
        <v>3.6130084258569001E-3</v>
      </c>
      <c r="E286" s="10">
        <v>-1.0534533798894501</v>
      </c>
      <c r="F286" s="10">
        <v>1.27804003249058E-4</v>
      </c>
    </row>
    <row r="287" spans="1:6" x14ac:dyDescent="0.2">
      <c r="A287" s="8" t="s">
        <v>52</v>
      </c>
      <c r="B287" s="8" t="s">
        <v>53</v>
      </c>
      <c r="C287" s="8">
        <v>-1.01780951402647</v>
      </c>
      <c r="D287" s="8">
        <v>1.5463284678031E-2</v>
      </c>
      <c r="E287" s="10">
        <v>3.9353681289960298</v>
      </c>
      <c r="F287" s="13">
        <v>2.3524917804522302E-28</v>
      </c>
    </row>
    <row r="288" spans="1:6" x14ac:dyDescent="0.2">
      <c r="A288" s="8" t="s">
        <v>500</v>
      </c>
      <c r="B288" s="8" t="s">
        <v>501</v>
      </c>
      <c r="C288" s="8">
        <v>-1.3076574036111399</v>
      </c>
      <c r="D288" s="8">
        <v>2.06969311767543E-2</v>
      </c>
      <c r="E288" s="10">
        <v>-1.47798288720392</v>
      </c>
      <c r="F288" s="10">
        <v>2.1180510629602101E-3</v>
      </c>
    </row>
    <row r="289" spans="1:6" x14ac:dyDescent="0.2">
      <c r="A289" s="8" t="s">
        <v>416</v>
      </c>
      <c r="B289" s="8" t="s">
        <v>417</v>
      </c>
      <c r="C289" s="8">
        <v>-1.70848720913674</v>
      </c>
      <c r="D289" s="8">
        <v>4.6812949551348702E-2</v>
      </c>
      <c r="E289" s="10">
        <v>-2.2379578940590199</v>
      </c>
      <c r="F289" s="13">
        <v>1.2996855398451599E-6</v>
      </c>
    </row>
    <row r="290" spans="1:6" x14ac:dyDescent="0.2">
      <c r="A290" s="8" t="s">
        <v>72</v>
      </c>
      <c r="B290" s="8" t="s">
        <v>73</v>
      </c>
      <c r="C290" s="8">
        <v>-1.6220911341301101</v>
      </c>
      <c r="D290" s="8">
        <v>8.5587115837526505E-3</v>
      </c>
      <c r="E290" s="10">
        <v>4.6980499080277003</v>
      </c>
      <c r="F290" s="13">
        <v>9.3082810633713602E-8</v>
      </c>
    </row>
    <row r="291" spans="1:6" x14ac:dyDescent="0.2">
      <c r="A291" s="8" t="s">
        <v>688</v>
      </c>
      <c r="B291" s="8" t="s">
        <v>689</v>
      </c>
      <c r="C291" s="8">
        <v>2.0901820285881101</v>
      </c>
      <c r="D291" s="8">
        <v>1.10669773060158E-2</v>
      </c>
      <c r="E291" s="10">
        <v>-2.1088815214916701</v>
      </c>
      <c r="F291" s="13">
        <v>3.6796180519661499E-13</v>
      </c>
    </row>
    <row r="292" spans="1:6" x14ac:dyDescent="0.2">
      <c r="A292" s="8" t="s">
        <v>1016</v>
      </c>
      <c r="B292" s="8" t="s">
        <v>1017</v>
      </c>
      <c r="C292" s="8">
        <v>-1.41966997721157</v>
      </c>
      <c r="D292" s="8">
        <v>4.9981156681486297E-2</v>
      </c>
      <c r="E292" s="10">
        <v>-2.6783850303588199</v>
      </c>
      <c r="F292" s="13">
        <v>1.2366219114750899E-16</v>
      </c>
    </row>
    <row r="293" spans="1:6" x14ac:dyDescent="0.2">
      <c r="A293" s="8" t="s">
        <v>1036</v>
      </c>
      <c r="B293" s="8" t="s">
        <v>1037</v>
      </c>
      <c r="C293" s="8">
        <v>-1.7781527012592799</v>
      </c>
      <c r="D293" s="8">
        <v>2.3080288626392501E-2</v>
      </c>
      <c r="E293" s="10">
        <v>6.3228376404247602</v>
      </c>
      <c r="F293" s="13">
        <v>4.1205107956358799E-19</v>
      </c>
    </row>
    <row r="294" spans="1:6" x14ac:dyDescent="0.2">
      <c r="A294" s="8" t="s">
        <v>58</v>
      </c>
      <c r="B294" s="8" t="s">
        <v>59</v>
      </c>
      <c r="C294" s="8">
        <v>1.12222850950186</v>
      </c>
      <c r="D294" s="8">
        <v>2.3927036462236099E-2</v>
      </c>
      <c r="E294" s="10">
        <v>-2.7688801599067099</v>
      </c>
      <c r="F294" s="13">
        <v>7.2593249663910003E-5</v>
      </c>
    </row>
    <row r="295" spans="1:6" x14ac:dyDescent="0.2">
      <c r="A295" s="8" t="s">
        <v>148</v>
      </c>
      <c r="B295" s="8" t="s">
        <v>149</v>
      </c>
      <c r="C295" s="8">
        <v>2.7158248599258301</v>
      </c>
      <c r="D295" s="9">
        <v>7.6429909811748705E-6</v>
      </c>
      <c r="E295" s="10">
        <v>-1.81989161711901</v>
      </c>
      <c r="F295" s="13">
        <v>8.7361031625653201E-8</v>
      </c>
    </row>
    <row r="296" spans="1:6" x14ac:dyDescent="0.2">
      <c r="A296" s="8" t="s">
        <v>606</v>
      </c>
      <c r="B296" s="8" t="s">
        <v>607</v>
      </c>
      <c r="C296" s="8">
        <v>3.8953759135898398</v>
      </c>
      <c r="D296" s="8">
        <v>6.9113401863598505E-4</v>
      </c>
      <c r="E296" s="10">
        <v>-3.4823891410552399</v>
      </c>
      <c r="F296" s="13">
        <v>2.5209306212558801E-40</v>
      </c>
    </row>
    <row r="297" spans="1:6" x14ac:dyDescent="0.2">
      <c r="A297" s="8" t="s">
        <v>1058</v>
      </c>
      <c r="B297" s="8" t="s">
        <v>1059</v>
      </c>
      <c r="C297" s="8">
        <v>-2.27663747313728</v>
      </c>
      <c r="D297" s="8">
        <v>6.3441883385800899E-3</v>
      </c>
      <c r="E297" s="10">
        <v>8.5889514643510196</v>
      </c>
      <c r="F297" s="13">
        <v>3.4713234493308703E-8</v>
      </c>
    </row>
    <row r="298" spans="1:6" x14ac:dyDescent="0.2">
      <c r="A298" s="8" t="s">
        <v>34</v>
      </c>
      <c r="B298" s="8" t="s">
        <v>35</v>
      </c>
      <c r="C298" s="8">
        <v>-2.3911908235090902</v>
      </c>
      <c r="D298" s="8">
        <v>1.6911428444886498E-2</v>
      </c>
      <c r="E298" s="10">
        <v>4.9561047136097001</v>
      </c>
      <c r="F298" s="10">
        <v>6.43445682022885E-3</v>
      </c>
    </row>
    <row r="299" spans="1:6" x14ac:dyDescent="0.2">
      <c r="A299" s="8" t="s">
        <v>592</v>
      </c>
      <c r="B299" s="8" t="s">
        <v>593</v>
      </c>
      <c r="C299" s="8">
        <v>-1.6042250024335001</v>
      </c>
      <c r="D299" s="8">
        <v>1.1559604070742101E-2</v>
      </c>
      <c r="E299" s="10">
        <v>2.7923798354942502</v>
      </c>
      <c r="F299" s="13">
        <v>1.08950809189904E-14</v>
      </c>
    </row>
    <row r="300" spans="1:6" x14ac:dyDescent="0.2">
      <c r="A300" s="8" t="s">
        <v>922</v>
      </c>
      <c r="B300" s="8" t="s">
        <v>923</v>
      </c>
      <c r="C300" s="8">
        <v>-1.03865441530405</v>
      </c>
      <c r="D300" s="8">
        <v>1.7280919510179599E-2</v>
      </c>
      <c r="E300" s="10">
        <v>2.71944105999872</v>
      </c>
      <c r="F300" s="13">
        <v>7.2210763333264599E-13</v>
      </c>
    </row>
    <row r="301" spans="1:6" x14ac:dyDescent="0.2">
      <c r="A301" s="8" t="s">
        <v>378</v>
      </c>
      <c r="B301" s="8" t="s">
        <v>379</v>
      </c>
      <c r="C301" s="8">
        <v>-1.1569705236400001</v>
      </c>
      <c r="D301" s="8">
        <v>3.1714997967195499E-2</v>
      </c>
      <c r="E301" s="10">
        <v>3.4640152338557102</v>
      </c>
      <c r="F301" s="13">
        <v>2.4173633545645198E-44</v>
      </c>
    </row>
    <row r="302" spans="1:6" x14ac:dyDescent="0.2">
      <c r="A302" s="8" t="s">
        <v>1078</v>
      </c>
      <c r="B302" s="8" t="s">
        <v>1079</v>
      </c>
      <c r="C302" s="8">
        <v>1.3756297800822701</v>
      </c>
      <c r="D302" s="8">
        <v>2.16067383428524E-3</v>
      </c>
      <c r="E302" s="10">
        <v>-3.2052734316257299</v>
      </c>
      <c r="F302" s="13">
        <v>9.0692797857119591E-19</v>
      </c>
    </row>
    <row r="303" spans="1:6" x14ac:dyDescent="0.2">
      <c r="A303" s="8" t="s">
        <v>1280</v>
      </c>
      <c r="B303" s="8" t="s">
        <v>1281</v>
      </c>
      <c r="C303" s="8">
        <v>-1.56636671731467</v>
      </c>
      <c r="D303" s="8">
        <v>4.0981459831865498E-2</v>
      </c>
      <c r="E303" s="10">
        <v>1.6323520895337</v>
      </c>
      <c r="F303" s="13">
        <v>2.0356849716349601E-7</v>
      </c>
    </row>
    <row r="304" spans="1:6" x14ac:dyDescent="0.2">
      <c r="A304" s="8" t="s">
        <v>776</v>
      </c>
      <c r="B304" s="8" t="s">
        <v>777</v>
      </c>
      <c r="C304" s="8">
        <v>2.0114403087664501</v>
      </c>
      <c r="D304" s="8">
        <v>4.2995037716487302E-4</v>
      </c>
      <c r="E304" s="10">
        <v>-1.69963294340985</v>
      </c>
      <c r="F304" s="10">
        <v>4.6612830765154899E-4</v>
      </c>
    </row>
    <row r="305" spans="1:6" x14ac:dyDescent="0.2">
      <c r="A305" s="8" t="s">
        <v>476</v>
      </c>
      <c r="B305" s="8" t="s">
        <v>477</v>
      </c>
      <c r="C305" s="8">
        <v>1.21597500544252</v>
      </c>
      <c r="D305" s="8">
        <v>3.4187124069090802E-3</v>
      </c>
      <c r="E305" s="10">
        <v>-2.1388264790276699</v>
      </c>
      <c r="F305" s="13">
        <v>8.8159941173200897E-10</v>
      </c>
    </row>
    <row r="306" spans="1:6" x14ac:dyDescent="0.2">
      <c r="A306" s="8" t="s">
        <v>140</v>
      </c>
      <c r="B306" s="8" t="s">
        <v>141</v>
      </c>
      <c r="C306" s="8">
        <v>1.6991078123497201</v>
      </c>
      <c r="D306" s="8">
        <v>4.1221577684251104E-3</v>
      </c>
      <c r="E306" s="10">
        <v>-2.23979126835536</v>
      </c>
      <c r="F306" s="13">
        <v>2.569065776479E-8</v>
      </c>
    </row>
    <row r="307" spans="1:6" x14ac:dyDescent="0.2">
      <c r="A307" s="8" t="s">
        <v>14</v>
      </c>
      <c r="B307" s="8" t="s">
        <v>15</v>
      </c>
      <c r="C307" s="8">
        <v>-1.27271729507571</v>
      </c>
      <c r="D307" s="8">
        <v>2.92720743177141E-2</v>
      </c>
      <c r="E307" s="10">
        <v>2.1529945007612898</v>
      </c>
      <c r="F307" s="13">
        <v>8.8384466488389895E-9</v>
      </c>
    </row>
    <row r="308" spans="1:6" x14ac:dyDescent="0.2">
      <c r="A308" s="8" t="s">
        <v>104</v>
      </c>
      <c r="B308" s="8" t="s">
        <v>105</v>
      </c>
      <c r="C308" s="8">
        <v>-1.11643378408286</v>
      </c>
      <c r="D308" s="8">
        <v>1.6553616026646401E-2</v>
      </c>
      <c r="E308" s="10">
        <v>-2.6359459834026602</v>
      </c>
      <c r="F308" s="13">
        <v>7.4233477879364402E-19</v>
      </c>
    </row>
    <row r="309" spans="1:6" x14ac:dyDescent="0.2">
      <c r="A309" s="8" t="s">
        <v>1282</v>
      </c>
      <c r="B309" s="8" t="s">
        <v>1283</v>
      </c>
      <c r="C309" s="8">
        <v>-2.0643771909173401</v>
      </c>
      <c r="D309" s="8">
        <v>4.7874678487626297E-2</v>
      </c>
      <c r="E309" s="10">
        <v>5.2677008407008898</v>
      </c>
      <c r="F309" s="13">
        <v>3.0392833698389598E-24</v>
      </c>
    </row>
    <row r="310" spans="1:6" x14ac:dyDescent="0.2">
      <c r="A310" s="8" t="s">
        <v>752</v>
      </c>
      <c r="B310" s="8" t="s">
        <v>753</v>
      </c>
      <c r="C310" s="8">
        <v>1.7328025114954999</v>
      </c>
      <c r="D310" s="8">
        <v>8.1998730858321104E-3</v>
      </c>
      <c r="E310" s="10">
        <v>-1.5444713200920499</v>
      </c>
      <c r="F310" s="10">
        <v>1.21566493536804E-4</v>
      </c>
    </row>
    <row r="311" spans="1:6" x14ac:dyDescent="0.2">
      <c r="A311" s="8" t="s">
        <v>1110</v>
      </c>
      <c r="B311" s="8" t="s">
        <v>1111</v>
      </c>
      <c r="C311" s="8">
        <v>-1.7350214561608699</v>
      </c>
      <c r="D311" s="8">
        <v>3.3828721264240302E-2</v>
      </c>
      <c r="E311" s="10">
        <v>3.2670012435058799</v>
      </c>
      <c r="F311" s="13">
        <v>6.2337589075434505E-10</v>
      </c>
    </row>
    <row r="312" spans="1:6" x14ac:dyDescent="0.2">
      <c r="A312" s="8" t="s">
        <v>442</v>
      </c>
      <c r="B312" s="8" t="s">
        <v>443</v>
      </c>
      <c r="C312" s="8">
        <v>-1.35377704071286</v>
      </c>
      <c r="D312" s="8">
        <v>6.3823112019584897E-3</v>
      </c>
      <c r="E312" s="10">
        <v>-2.0835183965519199</v>
      </c>
      <c r="F312" s="10">
        <v>1.73462631968168E-3</v>
      </c>
    </row>
    <row r="313" spans="1:6" x14ac:dyDescent="0.2">
      <c r="A313" s="8" t="s">
        <v>382</v>
      </c>
      <c r="B313" s="8" t="s">
        <v>383</v>
      </c>
      <c r="C313" s="8">
        <v>1.19569183409915</v>
      </c>
      <c r="D313" s="8">
        <v>4.2183759227719803E-3</v>
      </c>
      <c r="E313" s="10">
        <v>1.91278847616949</v>
      </c>
      <c r="F313" s="10">
        <v>5.4290811264798497E-3</v>
      </c>
    </row>
    <row r="314" spans="1:6" x14ac:dyDescent="0.2">
      <c r="A314" s="8" t="s">
        <v>820</v>
      </c>
      <c r="B314" s="8" t="s">
        <v>821</v>
      </c>
      <c r="C314" s="8">
        <v>2.1071929935894498</v>
      </c>
      <c r="D314" s="8">
        <v>5.1956294952215795E-4</v>
      </c>
      <c r="E314" s="10">
        <v>-1.8020955722719001</v>
      </c>
      <c r="F314" s="13">
        <v>1.40329063429264E-6</v>
      </c>
    </row>
    <row r="315" spans="1:6" x14ac:dyDescent="0.2">
      <c r="A315" s="8" t="s">
        <v>818</v>
      </c>
      <c r="B315" s="8" t="s">
        <v>819</v>
      </c>
      <c r="C315" s="8">
        <v>-1.07458902531517</v>
      </c>
      <c r="D315" s="8">
        <v>2.5550056804004499E-3</v>
      </c>
      <c r="E315" s="10">
        <v>3.8323663865504098</v>
      </c>
      <c r="F315" s="13">
        <v>9.0891031490453192E-19</v>
      </c>
    </row>
    <row r="316" spans="1:6" x14ac:dyDescent="0.2">
      <c r="A316" s="8" t="s">
        <v>1106</v>
      </c>
      <c r="B316" s="8" t="s">
        <v>1107</v>
      </c>
      <c r="C316" s="8">
        <v>-2.0925001506437901</v>
      </c>
      <c r="D316" s="8">
        <v>1.6793812364331799E-2</v>
      </c>
      <c r="E316" s="10">
        <v>3.0575022468783</v>
      </c>
      <c r="F316" s="13">
        <v>4.1556774307074703E-12</v>
      </c>
    </row>
    <row r="317" spans="1:6" x14ac:dyDescent="0.2">
      <c r="A317" s="8" t="s">
        <v>890</v>
      </c>
      <c r="B317" s="8" t="s">
        <v>891</v>
      </c>
      <c r="C317" s="8">
        <v>-1.9621530752424401</v>
      </c>
      <c r="D317" s="8">
        <v>8.4437560089714002E-3</v>
      </c>
      <c r="E317" s="10">
        <v>2.0759437827520499</v>
      </c>
      <c r="F317" s="10">
        <v>3.1331687064035901E-3</v>
      </c>
    </row>
    <row r="318" spans="1:6" x14ac:dyDescent="0.2">
      <c r="A318" s="8" t="s">
        <v>900</v>
      </c>
      <c r="B318" s="8" t="s">
        <v>901</v>
      </c>
      <c r="C318" s="8">
        <v>-1.6785702579432999</v>
      </c>
      <c r="D318" s="8">
        <v>2.7964667509902202E-3</v>
      </c>
      <c r="E318" s="10">
        <v>-2.60358527850891</v>
      </c>
      <c r="F318" s="13">
        <v>3.2422105762514098E-16</v>
      </c>
    </row>
    <row r="319" spans="1:6" x14ac:dyDescent="0.2">
      <c r="A319" s="8" t="s">
        <v>412</v>
      </c>
      <c r="B319" s="8" t="s">
        <v>413</v>
      </c>
      <c r="C319" s="8">
        <v>1.5719606420897301</v>
      </c>
      <c r="D319" s="8">
        <v>3.5061630990664401E-4</v>
      </c>
      <c r="E319" s="10">
        <v>-1.9020830180653701</v>
      </c>
      <c r="F319" s="13">
        <v>1.49296374347306E-7</v>
      </c>
    </row>
    <row r="320" spans="1:6" x14ac:dyDescent="0.2">
      <c r="A320" s="8" t="s">
        <v>126</v>
      </c>
      <c r="B320" s="8" t="s">
        <v>127</v>
      </c>
      <c r="C320" s="8">
        <v>-1.0093668661748301</v>
      </c>
      <c r="D320" s="8">
        <v>1.99255531172176E-3</v>
      </c>
      <c r="E320" s="10">
        <v>4.2911579909351296</v>
      </c>
      <c r="F320" s="13">
        <v>6.7372864669757204E-59</v>
      </c>
    </row>
    <row r="321" spans="1:6" x14ac:dyDescent="0.2">
      <c r="A321" s="8" t="s">
        <v>644</v>
      </c>
      <c r="B321" s="8" t="s">
        <v>645</v>
      </c>
      <c r="C321" s="8">
        <v>1.6454395171502301</v>
      </c>
      <c r="D321" s="9">
        <v>4.3583965674762098E-5</v>
      </c>
      <c r="E321" s="10">
        <v>-2.0083222236688498</v>
      </c>
      <c r="F321" s="13">
        <v>1.39981900022308E-10</v>
      </c>
    </row>
    <row r="322" spans="1:6" x14ac:dyDescent="0.2">
      <c r="A322" s="8" t="s">
        <v>624</v>
      </c>
      <c r="B322" s="8" t="s">
        <v>625</v>
      </c>
      <c r="C322" s="8">
        <v>-1.88027704107005</v>
      </c>
      <c r="D322" s="8">
        <v>3.3106668893855197E-2</v>
      </c>
      <c r="E322" s="10">
        <v>2.5757591808860898</v>
      </c>
      <c r="F322" s="13">
        <v>1.0805119702497599E-5</v>
      </c>
    </row>
    <row r="323" spans="1:6" x14ac:dyDescent="0.2">
      <c r="A323" s="8" t="s">
        <v>674</v>
      </c>
      <c r="B323" s="8" t="s">
        <v>675</v>
      </c>
      <c r="C323" s="8">
        <v>1.20327223193254</v>
      </c>
      <c r="D323" s="8">
        <v>3.3559824790728499E-2</v>
      </c>
      <c r="E323" s="10">
        <v>-1.8344573824169399</v>
      </c>
      <c r="F323" s="10">
        <v>2.09516719609305E-3</v>
      </c>
    </row>
    <row r="324" spans="1:6" x14ac:dyDescent="0.2">
      <c r="A324" s="8" t="s">
        <v>910</v>
      </c>
      <c r="B324" s="8" t="s">
        <v>911</v>
      </c>
      <c r="C324" s="8">
        <v>-2.2498426769193398</v>
      </c>
      <c r="D324" s="8">
        <v>4.8005254144678801E-2</v>
      </c>
      <c r="E324" s="10">
        <v>6.3062947162249099</v>
      </c>
      <c r="F324" s="10">
        <v>8.0878371996842796E-4</v>
      </c>
    </row>
    <row r="325" spans="1:6" x14ac:dyDescent="0.2">
      <c r="A325" s="8" t="s">
        <v>290</v>
      </c>
      <c r="B325" s="8" t="s">
        <v>291</v>
      </c>
      <c r="C325" s="8">
        <v>1.5945780822937501</v>
      </c>
      <c r="D325" s="8">
        <v>1.00699345534791E-2</v>
      </c>
      <c r="E325" s="10">
        <v>-1.4775269783145399</v>
      </c>
      <c r="F325" s="13">
        <v>2.59470553037128E-8</v>
      </c>
    </row>
    <row r="326" spans="1:6" x14ac:dyDescent="0.2">
      <c r="A326" s="8" t="s">
        <v>360</v>
      </c>
      <c r="B326" s="8" t="s">
        <v>361</v>
      </c>
      <c r="C326" s="8">
        <v>1.62102918507306</v>
      </c>
      <c r="D326" s="8">
        <v>1.10798822035515E-2</v>
      </c>
      <c r="E326" s="10">
        <v>1.0411467245719701</v>
      </c>
      <c r="F326" s="10">
        <v>6.8009867351364597E-3</v>
      </c>
    </row>
    <row r="327" spans="1:6" x14ac:dyDescent="0.2">
      <c r="A327" s="8" t="s">
        <v>658</v>
      </c>
      <c r="B327" s="8" t="s">
        <v>659</v>
      </c>
      <c r="C327" s="8">
        <v>1.5087217346059301</v>
      </c>
      <c r="D327" s="8">
        <v>4.4628682806842701E-3</v>
      </c>
      <c r="E327" s="10">
        <v>-2.7255750283209301</v>
      </c>
      <c r="F327" s="13">
        <v>6.5895835671513995E-7</v>
      </c>
    </row>
    <row r="328" spans="1:6" x14ac:dyDescent="0.2">
      <c r="A328" s="8" t="s">
        <v>678</v>
      </c>
      <c r="B328" s="8" t="s">
        <v>679</v>
      </c>
      <c r="C328" s="8">
        <v>2.08003577644625</v>
      </c>
      <c r="D328" s="8">
        <v>1.0976896044993099E-2</v>
      </c>
      <c r="E328" s="10">
        <v>-1.2795998228335701</v>
      </c>
      <c r="F328" s="13">
        <v>3.52132069509905E-5</v>
      </c>
    </row>
    <row r="329" spans="1:6" x14ac:dyDescent="0.2">
      <c r="A329" s="8" t="s">
        <v>680</v>
      </c>
      <c r="B329" s="8" t="s">
        <v>681</v>
      </c>
      <c r="C329" s="8">
        <v>1.1914114913220599</v>
      </c>
      <c r="D329" s="8">
        <v>1.3029332484300301E-2</v>
      </c>
      <c r="E329" s="10">
        <v>-1.61482537354245</v>
      </c>
      <c r="F329" s="13">
        <v>6.2528177566475501E-8</v>
      </c>
    </row>
    <row r="330" spans="1:6" x14ac:dyDescent="0.2">
      <c r="A330" s="8" t="s">
        <v>1238</v>
      </c>
      <c r="B330" s="8" t="s">
        <v>1239</v>
      </c>
      <c r="C330" s="8">
        <v>-2.40138087965554</v>
      </c>
      <c r="D330" s="8">
        <v>1.80995771965059E-3</v>
      </c>
      <c r="E330" s="10">
        <v>-1.7664872208023801</v>
      </c>
      <c r="F330" s="10">
        <v>9.2880204464321596E-3</v>
      </c>
    </row>
    <row r="331" spans="1:6" x14ac:dyDescent="0.2">
      <c r="A331" s="8" t="s">
        <v>492</v>
      </c>
      <c r="B331" s="8" t="s">
        <v>493</v>
      </c>
      <c r="C331" s="8">
        <v>2.1257001148247099</v>
      </c>
      <c r="D331" s="8">
        <v>1.0444096274060601E-2</v>
      </c>
      <c r="E331" s="10">
        <v>1.7545485320909699</v>
      </c>
      <c r="F331" s="13">
        <v>6.6784958373447798E-14</v>
      </c>
    </row>
    <row r="332" spans="1:6" x14ac:dyDescent="0.2">
      <c r="A332" s="8" t="s">
        <v>194</v>
      </c>
      <c r="B332" s="8" t="s">
        <v>195</v>
      </c>
      <c r="C332" s="8">
        <v>1.06888073506781</v>
      </c>
      <c r="D332" s="8">
        <v>1.0675931860456901E-3</v>
      </c>
      <c r="E332" s="10">
        <v>3.2872763121989301</v>
      </c>
      <c r="F332" s="13">
        <v>7.4910553752353898E-13</v>
      </c>
    </row>
    <row r="333" spans="1:6" x14ac:dyDescent="0.2">
      <c r="A333" s="8" t="s">
        <v>632</v>
      </c>
      <c r="B333" s="8" t="s">
        <v>633</v>
      </c>
      <c r="C333" s="8">
        <v>1.4508217667618499</v>
      </c>
      <c r="D333" s="8">
        <v>7.5626022069337504E-3</v>
      </c>
      <c r="E333" s="10">
        <v>-2.3215708639889701</v>
      </c>
      <c r="F333" s="10">
        <v>1.7449289926020899E-4</v>
      </c>
    </row>
    <row r="334" spans="1:6" x14ac:dyDescent="0.2">
      <c r="A334" s="8" t="s">
        <v>830</v>
      </c>
      <c r="B334" s="8" t="s">
        <v>831</v>
      </c>
      <c r="C334" s="8">
        <v>-2.2428771799533598</v>
      </c>
      <c r="D334" s="8">
        <v>1.2700232111611601E-3</v>
      </c>
      <c r="E334" s="10">
        <v>-1.72940459717533</v>
      </c>
      <c r="F334" s="10">
        <v>2.07733273663272E-3</v>
      </c>
    </row>
    <row r="335" spans="1:6" x14ac:dyDescent="0.2">
      <c r="A335" s="8" t="s">
        <v>166</v>
      </c>
      <c r="B335" s="8" t="s">
        <v>167</v>
      </c>
      <c r="C335" s="8">
        <v>1.5481709454883299</v>
      </c>
      <c r="D335" s="8">
        <v>4.6555475689903397E-2</v>
      </c>
      <c r="E335" s="10">
        <v>-3.6664969301688202</v>
      </c>
      <c r="F335" s="13">
        <v>8.0119201638125302E-12</v>
      </c>
    </row>
    <row r="336" spans="1:6" x14ac:dyDescent="0.2">
      <c r="A336" s="8" t="s">
        <v>164</v>
      </c>
      <c r="B336" s="8" t="s">
        <v>165</v>
      </c>
      <c r="C336" s="8">
        <v>1.61719230848636</v>
      </c>
      <c r="D336" s="8">
        <v>2.5295382984151299E-4</v>
      </c>
      <c r="E336" s="10">
        <v>-1.4411469491775299</v>
      </c>
      <c r="F336" s="13">
        <v>6.4602990455397096E-9</v>
      </c>
    </row>
    <row r="337" spans="1:6" x14ac:dyDescent="0.2">
      <c r="A337" s="8" t="s">
        <v>162</v>
      </c>
      <c r="B337" s="8" t="s">
        <v>163</v>
      </c>
      <c r="C337" s="8">
        <v>1.7328056907226601</v>
      </c>
      <c r="D337" s="8">
        <v>9.4964526049247794E-3</v>
      </c>
      <c r="E337" s="10">
        <v>-2.5368311758278499</v>
      </c>
      <c r="F337" s="13">
        <v>1.21076678910186E-5</v>
      </c>
    </row>
    <row r="338" spans="1:6" x14ac:dyDescent="0.2">
      <c r="A338" s="8" t="s">
        <v>942</v>
      </c>
      <c r="B338" s="8" t="s">
        <v>943</v>
      </c>
      <c r="C338" s="8">
        <v>-1.5263828422646799</v>
      </c>
      <c r="D338" s="8">
        <v>4.3193223323625303E-2</v>
      </c>
      <c r="E338" s="10">
        <v>3.54007057129671</v>
      </c>
      <c r="F338" s="13">
        <v>9.3652147398548905E-11</v>
      </c>
    </row>
    <row r="339" spans="1:6" x14ac:dyDescent="0.2">
      <c r="A339" s="8" t="s">
        <v>578</v>
      </c>
      <c r="B339" s="8" t="s">
        <v>579</v>
      </c>
      <c r="C339" s="8">
        <v>-2.3867664800866502</v>
      </c>
      <c r="D339" s="8">
        <v>3.9150699435169601E-3</v>
      </c>
      <c r="E339" s="10">
        <v>5.3233714401888701</v>
      </c>
      <c r="F339" s="13">
        <v>5.7782488816478003E-29</v>
      </c>
    </row>
    <row r="340" spans="1:6" x14ac:dyDescent="0.2">
      <c r="A340" s="8" t="s">
        <v>792</v>
      </c>
      <c r="B340" s="8" t="s">
        <v>793</v>
      </c>
      <c r="C340" s="8">
        <v>1.4554960910482599</v>
      </c>
      <c r="D340" s="8">
        <v>2.9172138974001699E-3</v>
      </c>
      <c r="E340" s="10">
        <v>-1.5743252442214299</v>
      </c>
      <c r="F340" s="13">
        <v>4.3496628072158299E-5</v>
      </c>
    </row>
    <row r="341" spans="1:6" x14ac:dyDescent="0.2">
      <c r="A341" s="8" t="s">
        <v>230</v>
      </c>
      <c r="B341" s="8" t="s">
        <v>231</v>
      </c>
      <c r="C341" s="8">
        <v>-1.5864545578906899</v>
      </c>
      <c r="D341" s="8">
        <v>3.1564593109339699E-2</v>
      </c>
      <c r="E341" s="10">
        <v>2.5315106845353501</v>
      </c>
      <c r="F341" s="13">
        <v>7.6449701374014801E-5</v>
      </c>
    </row>
    <row r="342" spans="1:6" x14ac:dyDescent="0.2">
      <c r="A342" s="8" t="s">
        <v>68</v>
      </c>
      <c r="B342" s="8" t="s">
        <v>69</v>
      </c>
      <c r="C342" s="8">
        <v>-1.45243628325969</v>
      </c>
      <c r="D342" s="8">
        <v>4.4951185092372298E-3</v>
      </c>
      <c r="E342" s="10">
        <v>1.3052596134656</v>
      </c>
      <c r="F342" s="10">
        <v>3.6072524077786598E-3</v>
      </c>
    </row>
    <row r="343" spans="1:6" x14ac:dyDescent="0.2">
      <c r="A343" s="8" t="s">
        <v>214</v>
      </c>
      <c r="B343" s="8" t="s">
        <v>215</v>
      </c>
      <c r="C343" s="8">
        <v>1.03852918667404</v>
      </c>
      <c r="D343" s="8">
        <v>2.1991574011143299E-3</v>
      </c>
      <c r="E343" s="10">
        <v>-1.1500776124121499</v>
      </c>
      <c r="F343" s="10">
        <v>2.09995317578098E-4</v>
      </c>
    </row>
    <row r="344" spans="1:6" x14ac:dyDescent="0.2">
      <c r="A344" s="8" t="s">
        <v>1174</v>
      </c>
      <c r="B344" s="8" t="s">
        <v>1175</v>
      </c>
      <c r="C344" s="8">
        <v>-1.0756290332510501</v>
      </c>
      <c r="D344" s="8">
        <v>7.4303679016018403E-3</v>
      </c>
      <c r="E344" s="10">
        <v>-1.9579368895040099</v>
      </c>
      <c r="F344" s="13">
        <v>2.6972489892127901E-11</v>
      </c>
    </row>
    <row r="345" spans="1:6" x14ac:dyDescent="0.2">
      <c r="A345" s="8" t="s">
        <v>1044</v>
      </c>
      <c r="B345" s="8" t="s">
        <v>1045</v>
      </c>
      <c r="C345" s="8">
        <v>-1.14129989525688</v>
      </c>
      <c r="D345" s="8">
        <v>4.5028092074851901E-2</v>
      </c>
      <c r="E345" s="10">
        <v>1.97279361702642</v>
      </c>
      <c r="F345" s="13">
        <v>1.5492973861813698E-8</v>
      </c>
    </row>
    <row r="346" spans="1:6" x14ac:dyDescent="0.2">
      <c r="A346" s="8" t="s">
        <v>92</v>
      </c>
      <c r="B346" s="8" t="s">
        <v>93</v>
      </c>
      <c r="C346" s="8">
        <v>-3.0768892760222499</v>
      </c>
      <c r="D346" s="8">
        <v>1.47775379557766E-3</v>
      </c>
      <c r="E346" s="10">
        <v>4.4632696628485</v>
      </c>
      <c r="F346" s="10">
        <v>1.3157265930708901E-3</v>
      </c>
    </row>
    <row r="347" spans="1:6" x14ac:dyDescent="0.2">
      <c r="A347" s="8" t="s">
        <v>872</v>
      </c>
      <c r="B347" s="8" t="s">
        <v>873</v>
      </c>
      <c r="C347" s="8">
        <v>-1.77521559061108</v>
      </c>
      <c r="D347" s="8">
        <v>3.9299811516688397E-2</v>
      </c>
      <c r="E347" s="10">
        <v>4.6507175586404701</v>
      </c>
      <c r="F347" s="13">
        <v>1.4085630964310201E-18</v>
      </c>
    </row>
    <row r="348" spans="1:6" x14ac:dyDescent="0.2">
      <c r="A348" s="8" t="s">
        <v>1284</v>
      </c>
      <c r="B348" s="8" t="s">
        <v>1285</v>
      </c>
      <c r="C348" s="8">
        <v>-2.2085604505746201</v>
      </c>
      <c r="D348" s="8">
        <v>1.9813428244000099E-2</v>
      </c>
      <c r="E348" s="10">
        <v>5.5014100951173397</v>
      </c>
      <c r="F348" s="13">
        <v>7.6369289636937704E-8</v>
      </c>
    </row>
    <row r="349" spans="1:6" x14ac:dyDescent="0.2">
      <c r="A349" s="8" t="s">
        <v>66</v>
      </c>
      <c r="B349" s="8" t="s">
        <v>67</v>
      </c>
      <c r="C349" s="8">
        <v>-1.04645500023076</v>
      </c>
      <c r="D349" s="8">
        <v>4.6145376557281299E-2</v>
      </c>
      <c r="E349" s="10">
        <v>1.42683278986189</v>
      </c>
      <c r="F349" s="13">
        <v>3.4147997351276401E-7</v>
      </c>
    </row>
    <row r="350" spans="1:6" x14ac:dyDescent="0.2">
      <c r="A350" s="8" t="s">
        <v>712</v>
      </c>
      <c r="B350" s="8" t="s">
        <v>713</v>
      </c>
      <c r="C350" s="8">
        <v>2.7440295603743201</v>
      </c>
      <c r="D350" s="8">
        <v>1.0077443632873001E-3</v>
      </c>
      <c r="E350" s="10">
        <v>-2.0515885481410301</v>
      </c>
      <c r="F350" s="10">
        <v>9.8603118316806203E-3</v>
      </c>
    </row>
    <row r="351" spans="1:6" x14ac:dyDescent="0.2">
      <c r="A351" s="8" t="s">
        <v>1038</v>
      </c>
      <c r="B351" s="8" t="s">
        <v>1039</v>
      </c>
      <c r="C351" s="8">
        <v>-1.75633927099823</v>
      </c>
      <c r="D351" s="8">
        <v>1.3845317026902599E-2</v>
      </c>
      <c r="E351" s="10">
        <v>3.1470688118466201</v>
      </c>
      <c r="F351" s="13">
        <v>4.3844814802769002E-13</v>
      </c>
    </row>
    <row r="352" spans="1:6" x14ac:dyDescent="0.2">
      <c r="A352" s="8" t="s">
        <v>1244</v>
      </c>
      <c r="B352" s="8" t="s">
        <v>1245</v>
      </c>
      <c r="C352" s="8">
        <v>-1.6409607013515299</v>
      </c>
      <c r="D352" s="8">
        <v>3.8896795170554201E-2</v>
      </c>
      <c r="E352" s="10">
        <v>5.2404500024592098</v>
      </c>
      <c r="F352" s="10">
        <v>2.8113630151761098E-3</v>
      </c>
    </row>
    <row r="353" spans="1:6" x14ac:dyDescent="0.2">
      <c r="A353" s="8" t="s">
        <v>862</v>
      </c>
      <c r="B353" s="8" t="s">
        <v>863</v>
      </c>
      <c r="C353" s="8">
        <v>-1.8889657405137199</v>
      </c>
      <c r="D353" s="8">
        <v>4.6627816723950499E-2</v>
      </c>
      <c r="E353" s="10">
        <v>1.76467554586088</v>
      </c>
      <c r="F353" s="10">
        <v>5.1290237261301603E-3</v>
      </c>
    </row>
    <row r="354" spans="1:6" x14ac:dyDescent="0.2">
      <c r="A354" s="8" t="s">
        <v>432</v>
      </c>
      <c r="B354" s="8" t="s">
        <v>433</v>
      </c>
      <c r="C354" s="8">
        <v>1.1306688361501001</v>
      </c>
      <c r="D354" s="8">
        <v>2.6896120825342499E-4</v>
      </c>
      <c r="E354" s="10">
        <v>-1.1365531253021799</v>
      </c>
      <c r="F354" s="13">
        <v>2.0616546067164098E-6</v>
      </c>
    </row>
    <row r="355" spans="1:6" x14ac:dyDescent="0.2">
      <c r="A355" s="8" t="s">
        <v>616</v>
      </c>
      <c r="B355" s="8" t="s">
        <v>617</v>
      </c>
      <c r="C355" s="8">
        <v>1.29681729704501</v>
      </c>
      <c r="D355" s="8">
        <v>3.4123193000617298E-3</v>
      </c>
      <c r="E355" s="10">
        <v>-1.75829266522332</v>
      </c>
      <c r="F355" s="13">
        <v>2.56604258619487E-5</v>
      </c>
    </row>
    <row r="356" spans="1:6" x14ac:dyDescent="0.2">
      <c r="A356" s="8" t="s">
        <v>794</v>
      </c>
      <c r="B356" s="8" t="s">
        <v>795</v>
      </c>
      <c r="C356" s="8">
        <v>2.0496824028681901</v>
      </c>
      <c r="D356" s="8">
        <v>5.7083430629652503E-4</v>
      </c>
      <c r="E356" s="10">
        <v>-1.4395492111821999</v>
      </c>
      <c r="F356" s="13">
        <v>7.7585804741472504E-7</v>
      </c>
    </row>
    <row r="357" spans="1:6" x14ac:dyDescent="0.2">
      <c r="A357" s="8" t="s">
        <v>834</v>
      </c>
      <c r="B357" s="8" t="s">
        <v>835</v>
      </c>
      <c r="C357" s="8">
        <v>1.4892152597594599</v>
      </c>
      <c r="D357" s="8">
        <v>2.2994401663449598E-2</v>
      </c>
      <c r="E357" s="10">
        <v>-2.6220951859295698</v>
      </c>
      <c r="F357" s="13">
        <v>6.3975269518879798E-11</v>
      </c>
    </row>
    <row r="358" spans="1:6" x14ac:dyDescent="0.2">
      <c r="A358" s="8" t="s">
        <v>654</v>
      </c>
      <c r="B358" s="8" t="s">
        <v>655</v>
      </c>
      <c r="C358" s="8">
        <v>-1.08846998337776</v>
      </c>
      <c r="D358" s="8">
        <v>1.9745481988640901E-2</v>
      </c>
      <c r="E358" s="10">
        <v>2.1685206241988202</v>
      </c>
      <c r="F358" s="13">
        <v>1.2526098671031201E-6</v>
      </c>
    </row>
    <row r="359" spans="1:6" x14ac:dyDescent="0.2">
      <c r="A359" s="8" t="s">
        <v>920</v>
      </c>
      <c r="B359" s="8" t="s">
        <v>921</v>
      </c>
      <c r="C359" s="8">
        <v>-1.8984261867273999</v>
      </c>
      <c r="D359" s="8">
        <v>6.3178955703047301E-3</v>
      </c>
      <c r="E359" s="10">
        <v>1.49514909874924</v>
      </c>
      <c r="F359" s="13">
        <v>2.52163068221158E-5</v>
      </c>
    </row>
    <row r="360" spans="1:6" x14ac:dyDescent="0.2">
      <c r="A360" s="8" t="s">
        <v>1076</v>
      </c>
      <c r="B360" s="8" t="s">
        <v>1077</v>
      </c>
      <c r="C360" s="8">
        <v>-1.7147696871321501</v>
      </c>
      <c r="D360" s="8">
        <v>1.7085303269301E-3</v>
      </c>
      <c r="E360" s="10">
        <v>3.8941834755304101</v>
      </c>
      <c r="F360" s="13">
        <v>2.0909092139086699E-35</v>
      </c>
    </row>
    <row r="361" spans="1:6" x14ac:dyDescent="0.2">
      <c r="A361" s="8" t="s">
        <v>124</v>
      </c>
      <c r="B361" s="8" t="s">
        <v>125</v>
      </c>
      <c r="C361" s="8">
        <v>-2.0280574182340199</v>
      </c>
      <c r="D361" s="8">
        <v>2.3128437820179999E-2</v>
      </c>
      <c r="E361" s="10">
        <v>2.9926522941549099</v>
      </c>
      <c r="F361" s="13">
        <v>1.3765447685607299E-6</v>
      </c>
    </row>
    <row r="362" spans="1:6" x14ac:dyDescent="0.2">
      <c r="A362" s="8" t="s">
        <v>1242</v>
      </c>
      <c r="B362" s="8" t="s">
        <v>1243</v>
      </c>
      <c r="C362" s="8">
        <v>2.0784088527682001</v>
      </c>
      <c r="D362" s="8">
        <v>3.1393767968663799E-3</v>
      </c>
      <c r="E362" s="10">
        <v>-2.0229112434474898</v>
      </c>
      <c r="F362" s="10">
        <v>2.5593611938850902E-4</v>
      </c>
    </row>
    <row r="363" spans="1:6" x14ac:dyDescent="0.2">
      <c r="A363" s="8" t="s">
        <v>844</v>
      </c>
      <c r="B363" s="8" t="s">
        <v>845</v>
      </c>
      <c r="C363" s="8">
        <v>1.02668255356886</v>
      </c>
      <c r="D363" s="8">
        <v>1.1692043935814E-3</v>
      </c>
      <c r="E363" s="10">
        <v>1.2901584350134401</v>
      </c>
      <c r="F363" s="13">
        <v>4.9521015856786196E-6</v>
      </c>
    </row>
    <row r="364" spans="1:6" x14ac:dyDescent="0.2">
      <c r="A364" s="8" t="s">
        <v>450</v>
      </c>
      <c r="B364" s="8" t="s">
        <v>451</v>
      </c>
      <c r="C364" s="8">
        <v>1.17636829864208</v>
      </c>
      <c r="D364" s="8">
        <v>1.38513488095544E-2</v>
      </c>
      <c r="E364" s="10">
        <v>-1.71976331056679</v>
      </c>
      <c r="F364" s="13">
        <v>1.5593311135943001E-11</v>
      </c>
    </row>
    <row r="365" spans="1:6" x14ac:dyDescent="0.2">
      <c r="A365" s="8" t="s">
        <v>448</v>
      </c>
      <c r="B365" s="8" t="s">
        <v>449</v>
      </c>
      <c r="C365" s="8">
        <v>-1.15342490311073</v>
      </c>
      <c r="D365" s="8">
        <v>4.4156222697496902E-2</v>
      </c>
      <c r="E365" s="10">
        <v>-1.4763464506323301</v>
      </c>
      <c r="F365" s="10">
        <v>9.0379317902943793E-3</v>
      </c>
    </row>
    <row r="366" spans="1:6" x14ac:dyDescent="0.2">
      <c r="A366" s="8" t="s">
        <v>1286</v>
      </c>
      <c r="B366" s="8" t="s">
        <v>1287</v>
      </c>
      <c r="C366" s="8">
        <v>1.45734179793731</v>
      </c>
      <c r="D366" s="8">
        <v>3.07131982575444E-2</v>
      </c>
      <c r="E366" s="10">
        <v>3.3530129187139401</v>
      </c>
      <c r="F366" s="13">
        <v>3.5315201190836798E-7</v>
      </c>
    </row>
    <row r="367" spans="1:6" x14ac:dyDescent="0.2">
      <c r="A367" s="8" t="s">
        <v>1012</v>
      </c>
      <c r="B367" s="8" t="s">
        <v>1013</v>
      </c>
      <c r="C367" s="8">
        <v>-1.0022999315941401</v>
      </c>
      <c r="D367" s="8">
        <v>3.4089339251223198E-2</v>
      </c>
      <c r="E367" s="10">
        <v>3.21394812684396</v>
      </c>
      <c r="F367" s="13">
        <v>2.5907600597698201E-20</v>
      </c>
    </row>
    <row r="368" spans="1:6" x14ac:dyDescent="0.2">
      <c r="A368" s="8" t="s">
        <v>1074</v>
      </c>
      <c r="B368" s="8" t="s">
        <v>1075</v>
      </c>
      <c r="C368" s="8">
        <v>2.6860411521915202</v>
      </c>
      <c r="D368" s="8">
        <v>9.7301765285681295E-4</v>
      </c>
      <c r="E368" s="10">
        <v>-2.7829209024986601</v>
      </c>
      <c r="F368" s="13">
        <v>2.6332162627969698E-9</v>
      </c>
    </row>
    <row r="369" spans="1:6" x14ac:dyDescent="0.2">
      <c r="A369" s="8" t="s">
        <v>236</v>
      </c>
      <c r="B369" s="8" t="s">
        <v>237</v>
      </c>
      <c r="C369" s="8">
        <v>2.4652329296799</v>
      </c>
      <c r="D369" s="8">
        <v>8.3914712018899607E-3</v>
      </c>
      <c r="E369" s="10">
        <v>-3.22677482284469</v>
      </c>
      <c r="F369" s="13">
        <v>5.3051967206896599E-9</v>
      </c>
    </row>
    <row r="370" spans="1:6" x14ac:dyDescent="0.2">
      <c r="A370" s="8" t="s">
        <v>980</v>
      </c>
      <c r="B370" s="8" t="s">
        <v>981</v>
      </c>
      <c r="C370" s="8">
        <v>1.79032794213063</v>
      </c>
      <c r="D370" s="8">
        <v>1.9324159345556698E-2</v>
      </c>
      <c r="E370" s="10">
        <v>-2.2285404153296602</v>
      </c>
      <c r="F370" s="13">
        <v>1.4024895345265401E-8</v>
      </c>
    </row>
    <row r="371" spans="1:6" x14ac:dyDescent="0.2">
      <c r="A371" s="8" t="s">
        <v>826</v>
      </c>
      <c r="B371" s="8" t="s">
        <v>827</v>
      </c>
      <c r="C371" s="8">
        <v>-1.64492697642201</v>
      </c>
      <c r="D371" s="8">
        <v>7.7933731150822303E-3</v>
      </c>
      <c r="E371" s="10">
        <v>2.6422910188627902</v>
      </c>
      <c r="F371" s="10">
        <v>4.6686545236564398E-4</v>
      </c>
    </row>
    <row r="372" spans="1:6" x14ac:dyDescent="0.2">
      <c r="A372" s="8" t="s">
        <v>1218</v>
      </c>
      <c r="B372" s="8" t="s">
        <v>1219</v>
      </c>
      <c r="C372" s="8">
        <v>3.3821211254015799</v>
      </c>
      <c r="D372" s="8">
        <v>1.34800023533291E-2</v>
      </c>
      <c r="E372" s="10">
        <v>-4.0162642783079496</v>
      </c>
      <c r="F372" s="13">
        <v>1.7593437308928799E-6</v>
      </c>
    </row>
    <row r="373" spans="1:6" x14ac:dyDescent="0.2">
      <c r="A373" s="8" t="s">
        <v>170</v>
      </c>
      <c r="B373" s="8" t="s">
        <v>171</v>
      </c>
      <c r="C373" s="8">
        <v>-3.6010403812266101</v>
      </c>
      <c r="D373" s="8">
        <v>4.49264199348975E-3</v>
      </c>
      <c r="E373" s="10">
        <v>2.7313385057967499</v>
      </c>
      <c r="F373" s="10">
        <v>3.4970436412433701E-3</v>
      </c>
    </row>
    <row r="374" spans="1:6" x14ac:dyDescent="0.2">
      <c r="A374" s="8" t="s">
        <v>128</v>
      </c>
      <c r="B374" s="8" t="s">
        <v>129</v>
      </c>
      <c r="C374" s="8">
        <v>2.93651076447847</v>
      </c>
      <c r="D374" s="8">
        <v>3.3708792613743998E-3</v>
      </c>
      <c r="E374" s="10">
        <v>5.30550000646471</v>
      </c>
      <c r="F374" s="10">
        <v>2.2471042286040101E-3</v>
      </c>
    </row>
    <row r="375" spans="1:6" x14ac:dyDescent="0.2">
      <c r="A375" s="8" t="s">
        <v>238</v>
      </c>
      <c r="B375" s="8" t="s">
        <v>239</v>
      </c>
      <c r="C375" s="8">
        <v>-1.5492509122425899</v>
      </c>
      <c r="D375" s="8">
        <v>1.6950211282971101E-2</v>
      </c>
      <c r="E375" s="10">
        <v>4.5752101660302102</v>
      </c>
      <c r="F375" s="13">
        <v>2.8876252401248001E-8</v>
      </c>
    </row>
    <row r="376" spans="1:6" x14ac:dyDescent="0.2">
      <c r="A376" s="8" t="s">
        <v>250</v>
      </c>
      <c r="B376" s="8" t="s">
        <v>251</v>
      </c>
      <c r="C376" s="8">
        <v>-1.04737601911425</v>
      </c>
      <c r="D376" s="8">
        <v>7.8235082195271394E-3</v>
      </c>
      <c r="E376" s="10">
        <v>1.0035304513191501</v>
      </c>
      <c r="F376" s="10">
        <v>2.7899944245219602E-3</v>
      </c>
    </row>
    <row r="377" spans="1:6" x14ac:dyDescent="0.2">
      <c r="A377" s="8" t="s">
        <v>334</v>
      </c>
      <c r="B377" s="8" t="s">
        <v>335</v>
      </c>
      <c r="C377" s="8">
        <v>1.3727209381557699</v>
      </c>
      <c r="D377" s="8">
        <v>1.4182478913806E-2</v>
      </c>
      <c r="E377" s="10">
        <v>-2.1366394362446401</v>
      </c>
      <c r="F377" s="13">
        <v>5.7887480166565001E-8</v>
      </c>
    </row>
    <row r="378" spans="1:6" x14ac:dyDescent="0.2">
      <c r="A378" s="8" t="s">
        <v>842</v>
      </c>
      <c r="B378" s="8" t="s">
        <v>843</v>
      </c>
      <c r="C378" s="8">
        <v>1.64015041232351</v>
      </c>
      <c r="D378" s="8">
        <v>7.3366278382003204E-4</v>
      </c>
      <c r="E378" s="10">
        <v>-2.4729838609253498</v>
      </c>
      <c r="F378" s="13">
        <v>4.8814254464457298E-9</v>
      </c>
    </row>
    <row r="379" spans="1:6" x14ac:dyDescent="0.2">
      <c r="A379" s="8" t="s">
        <v>470</v>
      </c>
      <c r="B379" s="8" t="s">
        <v>471</v>
      </c>
      <c r="C379" s="8">
        <v>2.2742711539466001</v>
      </c>
      <c r="D379" s="8">
        <v>2.20187000598553E-2</v>
      </c>
      <c r="E379" s="10">
        <v>-1.9688603917545</v>
      </c>
      <c r="F379" s="10">
        <v>7.51695787249064E-3</v>
      </c>
    </row>
    <row r="380" spans="1:6" x14ac:dyDescent="0.2">
      <c r="A380" s="8" t="s">
        <v>446</v>
      </c>
      <c r="B380" s="8" t="s">
        <v>447</v>
      </c>
      <c r="C380" s="8">
        <v>1.7457218774669001</v>
      </c>
      <c r="D380" s="8">
        <v>1.6101870337772099E-2</v>
      </c>
      <c r="E380" s="10">
        <v>-3.1640649311109601</v>
      </c>
      <c r="F380" s="13">
        <v>4.9412363790779196E-12</v>
      </c>
    </row>
    <row r="381" spans="1:6" x14ac:dyDescent="0.2">
      <c r="A381" s="8" t="s">
        <v>468</v>
      </c>
      <c r="B381" s="8" t="s">
        <v>469</v>
      </c>
      <c r="C381" s="8">
        <v>1.78809912203993</v>
      </c>
      <c r="D381" s="8">
        <v>3.4607138003744702E-2</v>
      </c>
      <c r="E381" s="10">
        <v>-2.0875806780284898</v>
      </c>
      <c r="F381" s="10">
        <v>9.44414013250082E-4</v>
      </c>
    </row>
    <row r="382" spans="1:6" x14ac:dyDescent="0.2">
      <c r="A382" s="8" t="s">
        <v>208</v>
      </c>
      <c r="B382" s="8" t="s">
        <v>209</v>
      </c>
      <c r="C382" s="8">
        <v>-1.3325032523565301</v>
      </c>
      <c r="D382" s="8">
        <v>2.6392310415207398E-2</v>
      </c>
      <c r="E382" s="10">
        <v>5.5126517572176397</v>
      </c>
      <c r="F382" s="13">
        <v>7.2295363685742102E-6</v>
      </c>
    </row>
    <row r="383" spans="1:6" x14ac:dyDescent="0.2">
      <c r="A383" s="8" t="s">
        <v>1090</v>
      </c>
      <c r="B383" s="8" t="s">
        <v>1091</v>
      </c>
      <c r="C383" s="8">
        <v>-1.92598409157661</v>
      </c>
      <c r="D383" s="8">
        <v>7.1015662667428103E-4</v>
      </c>
      <c r="E383" s="10">
        <v>-2.6935707048337898</v>
      </c>
      <c r="F383" s="13">
        <v>3.9381863173796897E-14</v>
      </c>
    </row>
    <row r="384" spans="1:6" x14ac:dyDescent="0.2">
      <c r="A384" s="8" t="s">
        <v>244</v>
      </c>
      <c r="B384" s="8" t="s">
        <v>245</v>
      </c>
      <c r="C384" s="8">
        <v>2.4653062543258799</v>
      </c>
      <c r="D384" s="8">
        <v>9.6301500998561098E-4</v>
      </c>
      <c r="E384" s="10">
        <v>-1.4285760999216499</v>
      </c>
      <c r="F384" s="13">
        <v>1.32694545683737E-5</v>
      </c>
    </row>
    <row r="385" spans="1:6" x14ac:dyDescent="0.2">
      <c r="A385" s="8" t="s">
        <v>892</v>
      </c>
      <c r="B385" s="8" t="s">
        <v>893</v>
      </c>
      <c r="C385" s="8">
        <v>-1.8732732405605499</v>
      </c>
      <c r="D385" s="8">
        <v>3.04120065619875E-2</v>
      </c>
      <c r="E385" s="10">
        <v>5.1530270700016301</v>
      </c>
      <c r="F385" s="13">
        <v>1.1019125426525E-28</v>
      </c>
    </row>
    <row r="386" spans="1:6" x14ac:dyDescent="0.2">
      <c r="A386" s="8" t="s">
        <v>832</v>
      </c>
      <c r="B386" s="8" t="s">
        <v>833</v>
      </c>
      <c r="C386" s="8">
        <v>2.02547251509134</v>
      </c>
      <c r="D386" s="8">
        <v>2.1195882153148798E-2</v>
      </c>
      <c r="E386" s="10">
        <v>-2.3036762758085398</v>
      </c>
      <c r="F386" s="13">
        <v>2.0438645163649E-16</v>
      </c>
    </row>
    <row r="387" spans="1:6" x14ac:dyDescent="0.2">
      <c r="A387" s="8" t="s">
        <v>272</v>
      </c>
      <c r="B387" s="8" t="s">
        <v>273</v>
      </c>
      <c r="C387" s="8">
        <v>1.00603207295478</v>
      </c>
      <c r="D387" s="8">
        <v>2.7298494718906E-2</v>
      </c>
      <c r="E387" s="10">
        <v>1.1049614768520799</v>
      </c>
      <c r="F387" s="13">
        <v>3.4228325629066101E-6</v>
      </c>
    </row>
    <row r="388" spans="1:6" x14ac:dyDescent="0.2">
      <c r="A388" s="8" t="s">
        <v>306</v>
      </c>
      <c r="B388" s="8" t="s">
        <v>307</v>
      </c>
      <c r="C388" s="8">
        <v>-1.66965630237963</v>
      </c>
      <c r="D388" s="8">
        <v>1.17192848807182E-4</v>
      </c>
      <c r="E388" s="10">
        <v>-1.1608743957965799</v>
      </c>
      <c r="F388" s="13">
        <v>1.3377056408522901E-6</v>
      </c>
    </row>
    <row r="389" spans="1:6" x14ac:dyDescent="0.2">
      <c r="A389" s="8" t="s">
        <v>100</v>
      </c>
      <c r="B389" s="8" t="s">
        <v>101</v>
      </c>
      <c r="C389" s="8">
        <v>-1.3410239961617301</v>
      </c>
      <c r="D389" s="8">
        <v>2.92857556419861E-2</v>
      </c>
      <c r="E389" s="10">
        <v>3.8896165775907998</v>
      </c>
      <c r="F389" s="13">
        <v>6.1853344935227698E-5</v>
      </c>
    </row>
    <row r="390" spans="1:6" x14ac:dyDescent="0.2">
      <c r="A390" s="8" t="s">
        <v>990</v>
      </c>
      <c r="B390" s="8" t="s">
        <v>991</v>
      </c>
      <c r="C390" s="8">
        <v>-1.76367886016972</v>
      </c>
      <c r="D390" s="8">
        <v>1.8574961066610898E-2</v>
      </c>
      <c r="E390" s="10">
        <v>-1.8557231117030299</v>
      </c>
      <c r="F390" s="13">
        <v>1.87850458824496E-6</v>
      </c>
    </row>
    <row r="391" spans="1:6" x14ac:dyDescent="0.2">
      <c r="A391" s="8" t="s">
        <v>574</v>
      </c>
      <c r="B391" s="8" t="s">
        <v>575</v>
      </c>
      <c r="C391" s="8">
        <v>-1.1804084365732499</v>
      </c>
      <c r="D391" s="8">
        <v>2.7779335340653199E-2</v>
      </c>
      <c r="E391" s="10">
        <v>1.80208080636336</v>
      </c>
      <c r="F391" s="13">
        <v>2.76429931487046E-6</v>
      </c>
    </row>
    <row r="392" spans="1:6" x14ac:dyDescent="0.2">
      <c r="A392" s="8" t="s">
        <v>1192</v>
      </c>
      <c r="B392" s="8" t="s">
        <v>1193</v>
      </c>
      <c r="C392" s="8">
        <v>-2.5342504436217199</v>
      </c>
      <c r="D392" s="8">
        <v>7.8810145810135398E-3</v>
      </c>
      <c r="E392" s="10">
        <v>3.4001762701913401</v>
      </c>
      <c r="F392" s="13">
        <v>5.7452048019397799E-26</v>
      </c>
    </row>
    <row r="393" spans="1:6" x14ac:dyDescent="0.2">
      <c r="A393" s="8" t="s">
        <v>1258</v>
      </c>
      <c r="B393" s="8" t="s">
        <v>1259</v>
      </c>
      <c r="C393" s="8">
        <v>-2.1652542108186799</v>
      </c>
      <c r="D393" s="8">
        <v>2.4295703883420901E-2</v>
      </c>
      <c r="E393" s="10">
        <v>2.3676951872547098</v>
      </c>
      <c r="F393" s="10">
        <v>1.0771531565980401E-2</v>
      </c>
    </row>
    <row r="394" spans="1:6" x14ac:dyDescent="0.2">
      <c r="A394" s="8" t="s">
        <v>1252</v>
      </c>
      <c r="B394" s="8" t="s">
        <v>1253</v>
      </c>
      <c r="C394" s="8">
        <v>-1.6453824012040601</v>
      </c>
      <c r="D394" s="8">
        <v>1.31170035655082E-2</v>
      </c>
      <c r="E394" s="10">
        <v>5.3689446297752799</v>
      </c>
      <c r="F394" s="13">
        <v>5.5842295788461799E-25</v>
      </c>
    </row>
    <row r="395" spans="1:6" x14ac:dyDescent="0.2">
      <c r="A395" s="8" t="s">
        <v>146</v>
      </c>
      <c r="B395" s="8" t="s">
        <v>147</v>
      </c>
      <c r="C395" s="8">
        <v>1.8767483684897599</v>
      </c>
      <c r="D395" s="8">
        <v>5.2156865853119705E-4</v>
      </c>
      <c r="E395" s="10">
        <v>1.1391434204267701</v>
      </c>
      <c r="F395" s="13">
        <v>1.7946268334105501E-6</v>
      </c>
    </row>
    <row r="396" spans="1:6" x14ac:dyDescent="0.2">
      <c r="A396" s="8" t="s">
        <v>904</v>
      </c>
      <c r="B396" s="8" t="s">
        <v>905</v>
      </c>
      <c r="C396" s="8">
        <v>2.5656302323988398</v>
      </c>
      <c r="D396" s="8">
        <v>2.05513815756339E-3</v>
      </c>
      <c r="E396" s="10">
        <v>2.6865945637138098</v>
      </c>
      <c r="F396" s="13">
        <v>3.8261429118529798E-5</v>
      </c>
    </row>
    <row r="397" spans="1:6" x14ac:dyDescent="0.2">
      <c r="A397" s="8" t="s">
        <v>436</v>
      </c>
      <c r="B397" s="8" t="s">
        <v>437</v>
      </c>
      <c r="C397" s="8">
        <v>-1.8560665599639601</v>
      </c>
      <c r="D397" s="8">
        <v>1.8966957629483E-2</v>
      </c>
      <c r="E397" s="10">
        <v>4.8065261949414504</v>
      </c>
      <c r="F397" s="13">
        <v>3.0035305876056302E-38</v>
      </c>
    </row>
    <row r="398" spans="1:6" x14ac:dyDescent="0.2">
      <c r="A398" s="8" t="s">
        <v>520</v>
      </c>
      <c r="B398" s="8" t="s">
        <v>521</v>
      </c>
      <c r="C398" s="8">
        <v>-2.4748273587243199</v>
      </c>
      <c r="D398" s="8">
        <v>1.91156864210468E-3</v>
      </c>
      <c r="E398" s="10">
        <v>3.1793109192975901</v>
      </c>
      <c r="F398" s="10">
        <v>1.2262573301090099E-3</v>
      </c>
    </row>
    <row r="399" spans="1:6" x14ac:dyDescent="0.2">
      <c r="A399" s="8" t="s">
        <v>1152</v>
      </c>
      <c r="B399" s="8" t="s">
        <v>1153</v>
      </c>
      <c r="C399" s="8">
        <v>-1.5027385259824499</v>
      </c>
      <c r="D399" s="8">
        <v>1.56121399049352E-3</v>
      </c>
      <c r="E399" s="10">
        <v>-3.7447633037902701</v>
      </c>
      <c r="F399" s="13">
        <v>6.4000153124133399E-21</v>
      </c>
    </row>
    <row r="400" spans="1:6" x14ac:dyDescent="0.2">
      <c r="A400" s="8" t="s">
        <v>440</v>
      </c>
      <c r="B400" s="8" t="s">
        <v>441</v>
      </c>
      <c r="C400" s="8">
        <v>2.2027212239430201</v>
      </c>
      <c r="D400" s="8">
        <v>2.4743763385147999E-3</v>
      </c>
      <c r="E400" s="10">
        <v>-1.22588276148208</v>
      </c>
      <c r="F400" s="10">
        <v>1.24592278121997E-3</v>
      </c>
    </row>
    <row r="401" spans="1:6" x14ac:dyDescent="0.2">
      <c r="A401" s="8" t="s">
        <v>524</v>
      </c>
      <c r="B401" s="8" t="s">
        <v>525</v>
      </c>
      <c r="C401" s="8">
        <v>1.2753547198973101</v>
      </c>
      <c r="D401" s="8">
        <v>2.2374379649260801E-2</v>
      </c>
      <c r="E401" s="10">
        <v>-1.38860263975304</v>
      </c>
      <c r="F401" s="13">
        <v>1.31963142760579E-8</v>
      </c>
    </row>
    <row r="402" spans="1:6" x14ac:dyDescent="0.2">
      <c r="A402" s="8" t="s">
        <v>782</v>
      </c>
      <c r="B402" s="8" t="s">
        <v>783</v>
      </c>
      <c r="C402" s="8">
        <v>1.79133036886491</v>
      </c>
      <c r="D402" s="8">
        <v>7.1607465216179497E-4</v>
      </c>
      <c r="E402" s="10">
        <v>-2.9416378990262202</v>
      </c>
      <c r="F402" s="13">
        <v>4.8189288441997703E-19</v>
      </c>
    </row>
    <row r="403" spans="1:6" x14ac:dyDescent="0.2">
      <c r="A403" s="8" t="s">
        <v>318</v>
      </c>
      <c r="B403" s="8" t="s">
        <v>319</v>
      </c>
      <c r="C403" s="8">
        <v>-1.4603214989617801</v>
      </c>
      <c r="D403" s="8">
        <v>3.5140147388779898E-3</v>
      </c>
      <c r="E403" s="10">
        <v>1.4146262688690801</v>
      </c>
      <c r="F403" s="10">
        <v>1.02530506280078E-4</v>
      </c>
    </row>
    <row r="404" spans="1:6" x14ac:dyDescent="0.2">
      <c r="A404" s="8" t="s">
        <v>1240</v>
      </c>
      <c r="B404" s="8" t="s">
        <v>1241</v>
      </c>
      <c r="C404" s="8">
        <v>1.9569653561673399</v>
      </c>
      <c r="D404" s="8">
        <v>2.1880266739060499E-3</v>
      </c>
      <c r="E404" s="10">
        <v>-2.49227029208802</v>
      </c>
      <c r="F404" s="13">
        <v>7.64442870133877E-15</v>
      </c>
    </row>
    <row r="405" spans="1:6" x14ac:dyDescent="0.2">
      <c r="A405" s="8" t="s">
        <v>756</v>
      </c>
      <c r="B405" s="8" t="s">
        <v>757</v>
      </c>
      <c r="C405" s="8">
        <v>1.3709738642760301</v>
      </c>
      <c r="D405" s="8">
        <v>8.1454161993413398E-4</v>
      </c>
      <c r="E405" s="10">
        <v>-1.61761719445438</v>
      </c>
      <c r="F405" s="13">
        <v>5.7924512819757402E-8</v>
      </c>
    </row>
    <row r="406" spans="1:6" x14ac:dyDescent="0.2">
      <c r="A406" s="8" t="s">
        <v>1236</v>
      </c>
      <c r="B406" s="8" t="s">
        <v>1237</v>
      </c>
      <c r="C406" s="8">
        <v>-2.2624697321407701</v>
      </c>
      <c r="D406" s="8">
        <v>1.90672994938605E-2</v>
      </c>
      <c r="E406" s="10">
        <v>-1.8544681695849401</v>
      </c>
      <c r="F406" s="10">
        <v>3.4171218882096399E-3</v>
      </c>
    </row>
    <row r="407" spans="1:6" x14ac:dyDescent="0.2">
      <c r="A407" s="8" t="s">
        <v>1234</v>
      </c>
      <c r="B407" s="8" t="s">
        <v>1235</v>
      </c>
      <c r="C407" s="8">
        <v>-1.2563169812419199</v>
      </c>
      <c r="D407" s="8">
        <v>2.2558343632511298E-2</v>
      </c>
      <c r="E407" s="10">
        <v>1.1276599873231099</v>
      </c>
      <c r="F407" s="10">
        <v>3.8790252950771402E-3</v>
      </c>
    </row>
    <row r="408" spans="1:6" x14ac:dyDescent="0.2">
      <c r="A408" s="8" t="s">
        <v>1166</v>
      </c>
      <c r="B408" s="8" t="s">
        <v>1167</v>
      </c>
      <c r="C408" s="8">
        <v>2.2651441001457902</v>
      </c>
      <c r="D408" s="8">
        <v>3.65766363420977E-2</v>
      </c>
      <c r="E408" s="10">
        <v>-1.4737443521713001</v>
      </c>
      <c r="F408" s="10">
        <v>2.6604386354948798E-4</v>
      </c>
    </row>
    <row r="409" spans="1:6" x14ac:dyDescent="0.2">
      <c r="A409" s="8" t="s">
        <v>384</v>
      </c>
      <c r="B409" s="8" t="s">
        <v>385</v>
      </c>
      <c r="C409" s="8">
        <v>2.7296931307113499</v>
      </c>
      <c r="D409" s="8">
        <v>6.9679404417874102E-3</v>
      </c>
      <c r="E409" s="10">
        <v>-1.0842873717870201</v>
      </c>
      <c r="F409" s="10">
        <v>4.8344077558327698E-4</v>
      </c>
    </row>
    <row r="410" spans="1:6" x14ac:dyDescent="0.2">
      <c r="A410" s="8" t="s">
        <v>936</v>
      </c>
      <c r="B410" s="8" t="s">
        <v>937</v>
      </c>
      <c r="C410" s="8">
        <v>-1.84291268429681</v>
      </c>
      <c r="D410" s="8">
        <v>3.1444258447688E-2</v>
      </c>
      <c r="E410" s="10">
        <v>1.44304188868004</v>
      </c>
      <c r="F410" s="10">
        <v>1.28724013439121E-3</v>
      </c>
    </row>
    <row r="411" spans="1:6" x14ac:dyDescent="0.2">
      <c r="A411" s="8" t="s">
        <v>1248</v>
      </c>
      <c r="B411" s="8" t="s">
        <v>1249</v>
      </c>
      <c r="C411" s="8">
        <v>2.18236337433297</v>
      </c>
      <c r="D411" s="8">
        <v>4.77732174460411E-2</v>
      </c>
      <c r="E411" s="10">
        <v>2.5434955287576799</v>
      </c>
      <c r="F411" s="10">
        <v>1.00600041376844E-3</v>
      </c>
    </row>
    <row r="412" spans="1:6" x14ac:dyDescent="0.2">
      <c r="A412" s="8" t="s">
        <v>988</v>
      </c>
      <c r="B412" s="8" t="s">
        <v>989</v>
      </c>
      <c r="C412" s="8">
        <v>1.50882952476982</v>
      </c>
      <c r="D412" s="8">
        <v>3.81945874643267E-3</v>
      </c>
      <c r="E412" s="10">
        <v>-1.9820548026826199</v>
      </c>
      <c r="F412" s="13">
        <v>2.2906327636376101E-7</v>
      </c>
    </row>
    <row r="413" spans="1:6" x14ac:dyDescent="0.2">
      <c r="A413" s="8" t="s">
        <v>840</v>
      </c>
      <c r="B413" s="8" t="s">
        <v>841</v>
      </c>
      <c r="C413" s="8">
        <v>-1.30953027758775</v>
      </c>
      <c r="D413" s="8">
        <v>8.7441638789505904E-3</v>
      </c>
      <c r="E413" s="10">
        <v>1.44942391658535</v>
      </c>
      <c r="F413" s="13">
        <v>5.1414533603726395E-7</v>
      </c>
    </row>
    <row r="414" spans="1:6" x14ac:dyDescent="0.2">
      <c r="A414" s="8" t="s">
        <v>964</v>
      </c>
      <c r="B414" s="8" t="s">
        <v>965</v>
      </c>
      <c r="C414" s="8">
        <v>-2.0286550892455799</v>
      </c>
      <c r="D414" s="8">
        <v>1.94524382603819E-4</v>
      </c>
      <c r="E414" s="10">
        <v>2.1738582355846501</v>
      </c>
      <c r="F414" s="13">
        <v>1.1680639439596501E-10</v>
      </c>
    </row>
    <row r="415" spans="1:6" x14ac:dyDescent="0.2">
      <c r="A415" s="8" t="s">
        <v>198</v>
      </c>
      <c r="B415" s="8" t="s">
        <v>199</v>
      </c>
      <c r="C415" s="8">
        <v>-3.2770098867056698</v>
      </c>
      <c r="D415" s="8">
        <v>3.9013090645549302E-2</v>
      </c>
      <c r="E415" s="10">
        <v>-2.0172200462635099</v>
      </c>
      <c r="F415" s="10">
        <v>8.5691778338225805E-4</v>
      </c>
    </row>
    <row r="416" spans="1:6" x14ac:dyDescent="0.2">
      <c r="A416" s="8" t="s">
        <v>102</v>
      </c>
      <c r="B416" s="8" t="s">
        <v>103</v>
      </c>
      <c r="C416" s="8">
        <v>1.0075480210371</v>
      </c>
      <c r="D416" s="8">
        <v>3.7979955907502201E-2</v>
      </c>
      <c r="E416" s="10">
        <v>-1.72049823202276</v>
      </c>
      <c r="F416" s="13">
        <v>1.8770576001602701E-11</v>
      </c>
    </row>
    <row r="417" spans="1:6" x14ac:dyDescent="0.2">
      <c r="A417" s="8" t="s">
        <v>342</v>
      </c>
      <c r="B417" s="8" t="s">
        <v>343</v>
      </c>
      <c r="C417" s="8">
        <v>1.4246543068819999</v>
      </c>
      <c r="D417" s="8">
        <v>1.4709637397996699E-2</v>
      </c>
      <c r="E417" s="10">
        <v>-1.6994201140212499</v>
      </c>
      <c r="F417" s="10">
        <v>1.01655136573522E-2</v>
      </c>
    </row>
    <row r="418" spans="1:6" x14ac:dyDescent="0.2">
      <c r="A418" s="8" t="s">
        <v>816</v>
      </c>
      <c r="B418" s="8" t="s">
        <v>817</v>
      </c>
      <c r="C418" s="8">
        <v>-1.6258617303307501</v>
      </c>
      <c r="D418" s="8">
        <v>6.72042583048454E-3</v>
      </c>
      <c r="E418" s="10">
        <v>-3.4999073747667002</v>
      </c>
      <c r="F418" s="13">
        <v>9.1513176930232799E-26</v>
      </c>
    </row>
    <row r="419" spans="1:6" x14ac:dyDescent="0.2">
      <c r="A419" s="8" t="s">
        <v>800</v>
      </c>
      <c r="B419" s="8" t="s">
        <v>801</v>
      </c>
      <c r="C419" s="8">
        <v>-1.0204917733646901</v>
      </c>
      <c r="D419" s="8">
        <v>3.4888470619758E-2</v>
      </c>
      <c r="E419" s="10">
        <v>-1.6724118769006799</v>
      </c>
      <c r="F419" s="13">
        <v>3.6540030610273897E-5</v>
      </c>
    </row>
    <row r="420" spans="1:6" x14ac:dyDescent="0.2">
      <c r="A420" s="8" t="s">
        <v>972</v>
      </c>
      <c r="B420" s="8" t="s">
        <v>973</v>
      </c>
      <c r="C420" s="8">
        <v>1.3344194812544301</v>
      </c>
      <c r="D420" s="8">
        <v>9.0145595252598999E-3</v>
      </c>
      <c r="E420" s="10">
        <v>-1.34065691463089</v>
      </c>
      <c r="F420" s="13">
        <v>8.9262680572387193E-6</v>
      </c>
    </row>
    <row r="421" spans="1:6" x14ac:dyDescent="0.2">
      <c r="A421" s="8" t="s">
        <v>974</v>
      </c>
      <c r="B421" s="8" t="s">
        <v>975</v>
      </c>
      <c r="C421" s="8">
        <v>1.57012352616136</v>
      </c>
      <c r="D421" s="8">
        <v>3.2866872486009897E-2</v>
      </c>
      <c r="E421" s="10">
        <v>-1.5342187541625301</v>
      </c>
      <c r="F421" s="13">
        <v>3.0284269065234702E-7</v>
      </c>
    </row>
    <row r="422" spans="1:6" x14ac:dyDescent="0.2">
      <c r="A422" s="8" t="s">
        <v>970</v>
      </c>
      <c r="B422" s="8" t="s">
        <v>971</v>
      </c>
      <c r="C422" s="8">
        <v>1.3746944636331799</v>
      </c>
      <c r="D422" s="8">
        <v>1.8465527598834799E-4</v>
      </c>
      <c r="E422" s="10">
        <v>2.5467082492805599</v>
      </c>
      <c r="F422" s="13">
        <v>6.6216128750245001E-23</v>
      </c>
    </row>
    <row r="423" spans="1:6" x14ac:dyDescent="0.2">
      <c r="A423" s="8" t="s">
        <v>280</v>
      </c>
      <c r="B423" s="8" t="s">
        <v>281</v>
      </c>
      <c r="C423" s="8">
        <v>1.6053387873867999</v>
      </c>
      <c r="D423" s="8">
        <v>2.7452415859691799E-4</v>
      </c>
      <c r="E423" s="10">
        <v>3.3564722239770801</v>
      </c>
      <c r="F423" s="13">
        <v>8.1048806847698197E-7</v>
      </c>
    </row>
    <row r="424" spans="1:6" x14ac:dyDescent="0.2">
      <c r="A424" s="8" t="s">
        <v>286</v>
      </c>
      <c r="B424" s="8" t="s">
        <v>287</v>
      </c>
      <c r="C424" s="8">
        <v>1.2632493391936801</v>
      </c>
      <c r="D424" s="8">
        <v>2.2658295311724901E-2</v>
      </c>
      <c r="E424" s="10">
        <v>-1.61995546486811</v>
      </c>
      <c r="F424" s="13">
        <v>1.96685760106114E-8</v>
      </c>
    </row>
    <row r="425" spans="1:6" x14ac:dyDescent="0.2">
      <c r="A425" s="8" t="s">
        <v>78</v>
      </c>
      <c r="B425" s="8" t="s">
        <v>79</v>
      </c>
      <c r="C425" s="8">
        <v>1.8059190407974099</v>
      </c>
      <c r="D425" s="9">
        <v>8.8503102061986998E-5</v>
      </c>
      <c r="E425" s="10">
        <v>-1.54803886021318</v>
      </c>
      <c r="F425" s="10">
        <v>7.5787553844104101E-3</v>
      </c>
    </row>
    <row r="426" spans="1:6" x14ac:dyDescent="0.2">
      <c r="A426" s="8" t="s">
        <v>296</v>
      </c>
      <c r="B426" s="8" t="s">
        <v>297</v>
      </c>
      <c r="C426" s="8">
        <v>2.66756838190229</v>
      </c>
      <c r="D426" s="8">
        <v>4.7002966965579103E-2</v>
      </c>
      <c r="E426" s="10">
        <v>-4.2100145232094999</v>
      </c>
      <c r="F426" s="13">
        <v>6.1786446771894898E-34</v>
      </c>
    </row>
    <row r="427" spans="1:6" x14ac:dyDescent="0.2">
      <c r="A427" s="8" t="s">
        <v>252</v>
      </c>
      <c r="B427" s="8" t="s">
        <v>253</v>
      </c>
      <c r="C427" s="8">
        <v>1.3886063042049199</v>
      </c>
      <c r="D427" s="8">
        <v>4.1986430043003398E-2</v>
      </c>
      <c r="E427" s="10">
        <v>-3.51032935854793</v>
      </c>
      <c r="F427" s="13">
        <v>2.4917212491281601E-23</v>
      </c>
    </row>
    <row r="428" spans="1:6" x14ac:dyDescent="0.2">
      <c r="A428" s="8" t="s">
        <v>1120</v>
      </c>
      <c r="B428" s="8" t="s">
        <v>1121</v>
      </c>
      <c r="C428" s="8">
        <v>-1.0207207606072499</v>
      </c>
      <c r="D428" s="8">
        <v>4.2437810210605699E-2</v>
      </c>
      <c r="E428" s="10">
        <v>2.1394323964625599</v>
      </c>
      <c r="F428" s="13">
        <v>1.9654373735556499E-7</v>
      </c>
    </row>
    <row r="429" spans="1:6" x14ac:dyDescent="0.2">
      <c r="A429" s="8" t="s">
        <v>1160</v>
      </c>
      <c r="B429" s="8" t="s">
        <v>1161</v>
      </c>
      <c r="C429" s="8">
        <v>1.03047591409964</v>
      </c>
      <c r="D429" s="8">
        <v>3.5152288717739399E-2</v>
      </c>
      <c r="E429" s="10">
        <v>-2.1547582792800801</v>
      </c>
      <c r="F429" s="13">
        <v>2.8638330326316498E-17</v>
      </c>
    </row>
    <row r="430" spans="1:6" x14ac:dyDescent="0.2">
      <c r="A430" s="8" t="s">
        <v>144</v>
      </c>
      <c r="B430" s="8" t="s">
        <v>145</v>
      </c>
      <c r="C430" s="8">
        <v>2.4356176507081502</v>
      </c>
      <c r="D430" s="8">
        <v>2.8738743422433997E-4</v>
      </c>
      <c r="E430" s="10">
        <v>-4.1828942825412598</v>
      </c>
      <c r="F430" s="13">
        <v>1.4838962725604399E-29</v>
      </c>
    </row>
    <row r="431" spans="1:6" x14ac:dyDescent="0.2">
      <c r="A431" s="8" t="s">
        <v>716</v>
      </c>
      <c r="B431" s="8" t="s">
        <v>717</v>
      </c>
      <c r="C431" s="8">
        <v>1.2112320806869801</v>
      </c>
      <c r="D431" s="8">
        <v>1.18037536290938E-2</v>
      </c>
      <c r="E431" s="10">
        <v>-1.7189764385217501</v>
      </c>
      <c r="F431" s="13">
        <v>2.3867900641664099E-9</v>
      </c>
    </row>
    <row r="432" spans="1:6" x14ac:dyDescent="0.2">
      <c r="A432" s="8" t="s">
        <v>1266</v>
      </c>
      <c r="B432" s="8" t="s">
        <v>1267</v>
      </c>
      <c r="C432" s="8">
        <v>3.6347159226792698</v>
      </c>
      <c r="D432" s="8">
        <v>1.3645646616209999E-4</v>
      </c>
      <c r="E432" s="10">
        <v>-2.26912107269361</v>
      </c>
      <c r="F432" s="10">
        <v>3.3443937214941801E-3</v>
      </c>
    </row>
    <row r="433" spans="1:6" x14ac:dyDescent="0.2">
      <c r="A433" s="8" t="s">
        <v>22</v>
      </c>
      <c r="B433" s="8" t="s">
        <v>23</v>
      </c>
      <c r="C433" s="8">
        <v>1.9795844793489299</v>
      </c>
      <c r="D433" s="8">
        <v>4.6756763998435202E-2</v>
      </c>
      <c r="E433" s="10">
        <v>-2.3476023648814199</v>
      </c>
      <c r="F433" s="10">
        <v>7.8289624506861204E-3</v>
      </c>
    </row>
    <row r="434" spans="1:6" x14ac:dyDescent="0.2">
      <c r="A434" s="8" t="s">
        <v>452</v>
      </c>
      <c r="B434" s="8" t="s">
        <v>453</v>
      </c>
      <c r="C434" s="8">
        <v>1.3194444246189001</v>
      </c>
      <c r="D434" s="8">
        <v>5.40124684668793E-3</v>
      </c>
      <c r="E434" s="10">
        <v>-1.59094814255005</v>
      </c>
      <c r="F434" s="13">
        <v>1.9718159388891199E-8</v>
      </c>
    </row>
    <row r="435" spans="1:6" x14ac:dyDescent="0.2">
      <c r="A435" s="8" t="s">
        <v>702</v>
      </c>
      <c r="B435" s="8" t="s">
        <v>703</v>
      </c>
      <c r="C435" s="8">
        <v>1.05729288426892</v>
      </c>
      <c r="D435" s="8">
        <v>1.32609032343231E-2</v>
      </c>
      <c r="E435" s="10">
        <v>1.9762046552476999</v>
      </c>
      <c r="F435" s="13">
        <v>1.09813009510038E-16</v>
      </c>
    </row>
    <row r="436" spans="1:6" x14ac:dyDescent="0.2">
      <c r="A436" s="8" t="s">
        <v>1084</v>
      </c>
      <c r="B436" s="8" t="s">
        <v>1085</v>
      </c>
      <c r="C436" s="8">
        <v>-2.4067532107524401</v>
      </c>
      <c r="D436" s="8">
        <v>1.69684445028816E-2</v>
      </c>
      <c r="E436" s="10">
        <v>5.3148665465128699</v>
      </c>
      <c r="F436" s="10">
        <v>2.2845679901562E-3</v>
      </c>
    </row>
    <row r="437" spans="1:6" x14ac:dyDescent="0.2">
      <c r="A437" s="8" t="s">
        <v>1256</v>
      </c>
      <c r="B437" s="8" t="s">
        <v>1257</v>
      </c>
      <c r="C437" s="8">
        <v>-1.5111561390829</v>
      </c>
      <c r="D437" s="8">
        <v>3.1735375698231601E-2</v>
      </c>
      <c r="E437" s="10">
        <v>1.90207690337336</v>
      </c>
      <c r="F437" s="10">
        <v>1.2936531232460701E-4</v>
      </c>
    </row>
    <row r="438" spans="1:6" x14ac:dyDescent="0.2">
      <c r="A438" s="8" t="s">
        <v>1010</v>
      </c>
      <c r="B438" s="8" t="s">
        <v>1011</v>
      </c>
      <c r="C438" s="8">
        <v>1.3579206657141101</v>
      </c>
      <c r="D438" s="8">
        <v>3.7840875119973601E-3</v>
      </c>
      <c r="E438" s="10">
        <v>-1.7586437801925201</v>
      </c>
      <c r="F438" s="13">
        <v>1.6604588092918099E-10</v>
      </c>
    </row>
    <row r="439" spans="1:6" x14ac:dyDescent="0.2">
      <c r="A439" s="8" t="s">
        <v>176</v>
      </c>
      <c r="B439" s="8" t="s">
        <v>177</v>
      </c>
      <c r="C439" s="8">
        <v>2.4231299649335001</v>
      </c>
      <c r="D439" s="8">
        <v>2.12687842162565E-4</v>
      </c>
      <c r="E439" s="10">
        <v>-2.2588868052820001</v>
      </c>
      <c r="F439" s="13">
        <v>2.3916056091066301E-7</v>
      </c>
    </row>
    <row r="440" spans="1:6" x14ac:dyDescent="0.2">
      <c r="A440" s="8" t="s">
        <v>202</v>
      </c>
      <c r="B440" s="8" t="s">
        <v>203</v>
      </c>
      <c r="C440" s="8">
        <v>-1.6617346741316199</v>
      </c>
      <c r="D440" s="8">
        <v>2.6942113618331999E-3</v>
      </c>
      <c r="E440" s="10">
        <v>1.35823164181968</v>
      </c>
      <c r="F440" s="10">
        <v>1.06570720620875E-2</v>
      </c>
    </row>
    <row r="441" spans="1:6" x14ac:dyDescent="0.2">
      <c r="A441" s="8" t="s">
        <v>120</v>
      </c>
      <c r="B441" s="8" t="s">
        <v>121</v>
      </c>
      <c r="C441" s="8">
        <v>2.7427657768273801</v>
      </c>
      <c r="D441" s="9">
        <v>9.3999830940682803E-5</v>
      </c>
      <c r="E441" s="10">
        <v>-2.19079465881814</v>
      </c>
      <c r="F441" s="13">
        <v>6.6815494966712395E-5</v>
      </c>
    </row>
    <row r="442" spans="1:6" x14ac:dyDescent="0.2">
      <c r="A442" s="8" t="s">
        <v>630</v>
      </c>
      <c r="B442" s="8" t="s">
        <v>631</v>
      </c>
      <c r="C442" s="8">
        <v>-1.07794730514601</v>
      </c>
      <c r="D442" s="8">
        <v>1.4999430654047199E-3</v>
      </c>
      <c r="E442" s="10">
        <v>1.4853205661864399</v>
      </c>
      <c r="F442" s="13">
        <v>2.9866455059125498E-6</v>
      </c>
    </row>
    <row r="443" spans="1:6" x14ac:dyDescent="0.2">
      <c r="A443" s="8" t="s">
        <v>190</v>
      </c>
      <c r="B443" s="8" t="s">
        <v>191</v>
      </c>
      <c r="C443" s="8">
        <v>-1.57558178065542</v>
      </c>
      <c r="D443" s="8">
        <v>4.1541258334361498E-3</v>
      </c>
      <c r="E443" s="10">
        <v>3.1791111820393998</v>
      </c>
      <c r="F443" s="13">
        <v>5.9890119710546196E-35</v>
      </c>
    </row>
    <row r="444" spans="1:6" x14ac:dyDescent="0.2">
      <c r="A444" s="8" t="s">
        <v>1014</v>
      </c>
      <c r="B444" s="8" t="s">
        <v>1015</v>
      </c>
      <c r="C444" s="8">
        <v>-1.5787962853099899</v>
      </c>
      <c r="D444" s="8">
        <v>4.0945640436240598E-2</v>
      </c>
      <c r="E444" s="10">
        <v>6.3749847047745698</v>
      </c>
      <c r="F444" s="13">
        <v>8.1619638575436298E-79</v>
      </c>
    </row>
    <row r="445" spans="1:6" x14ac:dyDescent="0.2">
      <c r="A445" s="8" t="s">
        <v>914</v>
      </c>
      <c r="B445" s="8" t="s">
        <v>915</v>
      </c>
      <c r="C445" s="8">
        <v>-1.55220039852152</v>
      </c>
      <c r="D445" s="8">
        <v>4.4697344202393803E-2</v>
      </c>
      <c r="E445" s="10">
        <v>2.5510836659873202</v>
      </c>
      <c r="F445" s="13">
        <v>1.0756563276939199E-5</v>
      </c>
    </row>
    <row r="446" spans="1:6" x14ac:dyDescent="0.2">
      <c r="A446" s="8" t="s">
        <v>790</v>
      </c>
      <c r="B446" s="8" t="s">
        <v>791</v>
      </c>
      <c r="C446" s="8">
        <v>-2.2822609495307402</v>
      </c>
      <c r="D446" s="8">
        <v>4.0682530594813001E-3</v>
      </c>
      <c r="E446" s="10">
        <v>2.0218619848212098</v>
      </c>
      <c r="F446" s="13">
        <v>5.7065947489417101E-5</v>
      </c>
    </row>
    <row r="447" spans="1:6" x14ac:dyDescent="0.2">
      <c r="A447" s="8" t="s">
        <v>810</v>
      </c>
      <c r="B447" s="8" t="s">
        <v>811</v>
      </c>
      <c r="C447" s="8">
        <v>1.8096916830354</v>
      </c>
      <c r="D447" s="9">
        <v>2.0428243536445599E-5</v>
      </c>
      <c r="E447" s="10">
        <v>-1.1710956608818499</v>
      </c>
      <c r="F447" s="10">
        <v>8.8130954567362699E-4</v>
      </c>
    </row>
    <row r="448" spans="1:6" x14ac:dyDescent="0.2">
      <c r="A448" s="8" t="s">
        <v>284</v>
      </c>
      <c r="B448" s="8" t="s">
        <v>285</v>
      </c>
      <c r="C448" s="8">
        <v>2.5564420716825902</v>
      </c>
      <c r="D448" s="8">
        <v>4.5425186038402596E-3</v>
      </c>
      <c r="E448" s="10">
        <v>-1.1853448538786999</v>
      </c>
      <c r="F448" s="10">
        <v>1.32942078113081E-3</v>
      </c>
    </row>
    <row r="449" spans="1:6" x14ac:dyDescent="0.2">
      <c r="A449" s="8" t="s">
        <v>30</v>
      </c>
      <c r="B449" s="8" t="s">
        <v>31</v>
      </c>
      <c r="C449" s="8">
        <v>-1.45916911631004</v>
      </c>
      <c r="D449" s="8">
        <v>1.43326506740545E-2</v>
      </c>
      <c r="E449" s="10">
        <v>-2.7369251286501801</v>
      </c>
      <c r="F449" s="13">
        <v>5.4484390423676603E-14</v>
      </c>
    </row>
    <row r="450" spans="1:6" x14ac:dyDescent="0.2">
      <c r="A450" s="8" t="s">
        <v>36</v>
      </c>
      <c r="B450" s="8" t="s">
        <v>37</v>
      </c>
      <c r="C450" s="8">
        <v>-1.1274308575679399</v>
      </c>
      <c r="D450" s="8">
        <v>1.45267530705407E-2</v>
      </c>
      <c r="E450" s="10">
        <v>2.0997063393859099</v>
      </c>
      <c r="F450" s="13">
        <v>2.20172533776195E-5</v>
      </c>
    </row>
    <row r="451" spans="1:6" x14ac:dyDescent="0.2">
      <c r="A451" s="8" t="s">
        <v>938</v>
      </c>
      <c r="B451" s="8" t="s">
        <v>939</v>
      </c>
      <c r="C451" s="8">
        <v>-1.1640935409230999</v>
      </c>
      <c r="D451" s="8">
        <v>1.7121011086455001E-2</v>
      </c>
      <c r="E451" s="10">
        <v>4.6505357554682796</v>
      </c>
      <c r="F451" s="13">
        <v>2.8598911468166901E-59</v>
      </c>
    </row>
    <row r="452" spans="1:6" x14ac:dyDescent="0.2">
      <c r="A452" s="8" t="s">
        <v>328</v>
      </c>
      <c r="B452" s="8" t="s">
        <v>329</v>
      </c>
      <c r="C452" s="8">
        <v>-1.0441449338362001</v>
      </c>
      <c r="D452" s="8">
        <v>4.6664754612822396E-3</v>
      </c>
      <c r="E452" s="10">
        <v>1.0167301973345499</v>
      </c>
      <c r="F452" s="10">
        <v>4.6776849254766598E-4</v>
      </c>
    </row>
    <row r="453" spans="1:6" x14ac:dyDescent="0.2">
      <c r="A453" s="8" t="s">
        <v>340</v>
      </c>
      <c r="B453" s="8" t="s">
        <v>341</v>
      </c>
      <c r="C453" s="8">
        <v>1.1460876898646299</v>
      </c>
      <c r="D453" s="8">
        <v>3.4258741400191701E-2</v>
      </c>
      <c r="E453" s="10">
        <v>-1.5530885837220501</v>
      </c>
      <c r="F453" s="10">
        <v>1.03589374380322E-4</v>
      </c>
    </row>
    <row r="454" spans="1:6" x14ac:dyDescent="0.2">
      <c r="A454" s="8" t="s">
        <v>708</v>
      </c>
      <c r="B454" s="8" t="s">
        <v>709</v>
      </c>
      <c r="C454" s="8">
        <v>1.34146082713967</v>
      </c>
      <c r="D454" s="8">
        <v>3.127441380156E-2</v>
      </c>
      <c r="E454" s="10">
        <v>-1.36022660134326</v>
      </c>
      <c r="F454" s="10">
        <v>1.2687502841332401E-3</v>
      </c>
    </row>
    <row r="455" spans="1:6" x14ac:dyDescent="0.2">
      <c r="A455" s="8" t="s">
        <v>152</v>
      </c>
      <c r="B455" s="8" t="s">
        <v>153</v>
      </c>
      <c r="C455" s="8">
        <v>-2.0459468546470201</v>
      </c>
      <c r="D455" s="8">
        <v>1.64472079411465E-3</v>
      </c>
      <c r="E455" s="10">
        <v>-1.6348654456115801</v>
      </c>
      <c r="F455" s="10">
        <v>2.0404064749015099E-4</v>
      </c>
    </row>
    <row r="456" spans="1:6" x14ac:dyDescent="0.2">
      <c r="A456" s="8" t="s">
        <v>646</v>
      </c>
      <c r="B456" s="8" t="s">
        <v>647</v>
      </c>
      <c r="C456" s="8">
        <v>-1.5340727409791199</v>
      </c>
      <c r="D456" s="8">
        <v>1.30191002911493E-2</v>
      </c>
      <c r="E456" s="10">
        <v>-2.5256760944298899</v>
      </c>
      <c r="F456" s="13">
        <v>4.4500562876123602E-6</v>
      </c>
    </row>
    <row r="457" spans="1:6" x14ac:dyDescent="0.2">
      <c r="A457" s="8" t="s">
        <v>60</v>
      </c>
      <c r="B457" s="8" t="s">
        <v>61</v>
      </c>
      <c r="C457" s="8">
        <v>1.2817053794876501</v>
      </c>
      <c r="D457" s="8">
        <v>9.3312329484530302E-4</v>
      </c>
      <c r="E457" s="10">
        <v>1.0734160041104399</v>
      </c>
      <c r="F457" s="10">
        <v>2.66582103889061E-3</v>
      </c>
    </row>
    <row r="458" spans="1:6" x14ac:dyDescent="0.2">
      <c r="A458" s="8" t="s">
        <v>620</v>
      </c>
      <c r="B458" s="8" t="s">
        <v>621</v>
      </c>
      <c r="C458" s="8">
        <v>-1.32297777603898</v>
      </c>
      <c r="D458" s="8">
        <v>3.2602603113419601E-3</v>
      </c>
      <c r="E458" s="10">
        <v>1.5750602330464301</v>
      </c>
      <c r="F458" s="13">
        <v>7.5217813958106504E-5</v>
      </c>
    </row>
    <row r="459" spans="1:6" x14ac:dyDescent="0.2">
      <c r="A459" s="8" t="s">
        <v>652</v>
      </c>
      <c r="B459" s="8" t="s">
        <v>653</v>
      </c>
      <c r="C459" s="8">
        <v>-1.10093484648441</v>
      </c>
      <c r="D459" s="8">
        <v>1.91859096631944E-2</v>
      </c>
      <c r="E459" s="10">
        <v>-1.6454442528658599</v>
      </c>
      <c r="F459" s="10">
        <v>4.9668519640000495E-4</v>
      </c>
    </row>
    <row r="460" spans="1:6" x14ac:dyDescent="0.2">
      <c r="A460" s="8" t="s">
        <v>344</v>
      </c>
      <c r="B460" s="8" t="s">
        <v>345</v>
      </c>
      <c r="C460" s="8">
        <v>1.1055999413500399</v>
      </c>
      <c r="D460" s="8">
        <v>2.00935817116644E-2</v>
      </c>
      <c r="E460" s="10">
        <v>-1.58995496021584</v>
      </c>
      <c r="F460" s="13">
        <v>1.38413658004151E-9</v>
      </c>
    </row>
    <row r="461" spans="1:6" x14ac:dyDescent="0.2">
      <c r="A461" s="8" t="s">
        <v>506</v>
      </c>
      <c r="B461" s="8" t="s">
        <v>507</v>
      </c>
      <c r="C461" s="8">
        <v>-1.5197401798369901</v>
      </c>
      <c r="D461" s="8">
        <v>6.0458811038955403E-4</v>
      </c>
      <c r="E461" s="10">
        <v>1.86521036506923</v>
      </c>
      <c r="F461" s="13">
        <v>1.0472613918343799E-6</v>
      </c>
    </row>
    <row r="462" spans="1:6" x14ac:dyDescent="0.2">
      <c r="A462" s="8" t="s">
        <v>50</v>
      </c>
      <c r="B462" s="8" t="s">
        <v>51</v>
      </c>
      <c r="C462" s="8">
        <v>-1.47486741699968</v>
      </c>
      <c r="D462" s="8">
        <v>1.27688516933985E-3</v>
      </c>
      <c r="E462" s="10">
        <v>-2.8923834364914902</v>
      </c>
      <c r="F462" s="13">
        <v>1.1144984157084299E-22</v>
      </c>
    </row>
    <row r="463" spans="1:6" x14ac:dyDescent="0.2">
      <c r="A463" s="8" t="s">
        <v>188</v>
      </c>
      <c r="B463" s="8" t="s">
        <v>189</v>
      </c>
      <c r="C463" s="8">
        <v>2.7631987187305902</v>
      </c>
      <c r="D463" s="9">
        <v>1.5314054509423701E-5</v>
      </c>
      <c r="E463" s="10">
        <v>-1.7235296648523799</v>
      </c>
      <c r="F463" s="13">
        <v>9.3924129248422404E-6</v>
      </c>
    </row>
    <row r="464" spans="1:6" x14ac:dyDescent="0.2">
      <c r="A464" s="8" t="s">
        <v>706</v>
      </c>
      <c r="B464" s="8" t="s">
        <v>707</v>
      </c>
      <c r="C464" s="8">
        <v>-1.8125285012926999</v>
      </c>
      <c r="D464" s="8">
        <v>2.3279426430849199E-2</v>
      </c>
      <c r="E464" s="10">
        <v>2.1660306937832301</v>
      </c>
      <c r="F464" s="13">
        <v>1.35238931244258E-8</v>
      </c>
    </row>
    <row r="465" spans="1:6" x14ac:dyDescent="0.2">
      <c r="A465" s="8" t="s">
        <v>376</v>
      </c>
      <c r="B465" s="8" t="s">
        <v>377</v>
      </c>
      <c r="C465" s="8">
        <v>1.3759478263660001</v>
      </c>
      <c r="D465" s="8">
        <v>3.4948655784238498E-3</v>
      </c>
      <c r="E465" s="10">
        <v>-3.1061070598907699</v>
      </c>
      <c r="F465" s="13">
        <v>9.7482708792572594E-27</v>
      </c>
    </row>
    <row r="466" spans="1:6" x14ac:dyDescent="0.2">
      <c r="A466" s="8" t="s">
        <v>572</v>
      </c>
      <c r="B466" s="8" t="s">
        <v>573</v>
      </c>
      <c r="C466" s="8">
        <v>1.8211992667524699</v>
      </c>
      <c r="D466" s="9">
        <v>9.2745187140132106E-5</v>
      </c>
      <c r="E466" s="10">
        <v>-1.35844641984375</v>
      </c>
      <c r="F466" s="13">
        <v>2.3379448231548598E-6</v>
      </c>
    </row>
    <row r="467" spans="1:6" x14ac:dyDescent="0.2">
      <c r="A467" s="8" t="s">
        <v>854</v>
      </c>
      <c r="B467" s="8" t="s">
        <v>855</v>
      </c>
      <c r="C467" s="8">
        <v>-1.6585740869279999</v>
      </c>
      <c r="D467" s="8">
        <v>1.49736661543877E-3</v>
      </c>
      <c r="E467" s="10">
        <v>2.8420627135073802</v>
      </c>
      <c r="F467" s="13">
        <v>7.6361809194255596E-24</v>
      </c>
    </row>
    <row r="468" spans="1:6" x14ac:dyDescent="0.2">
      <c r="A468" s="8" t="s">
        <v>200</v>
      </c>
      <c r="B468" s="8" t="s">
        <v>201</v>
      </c>
      <c r="C468" s="8">
        <v>-2.1491620105097402</v>
      </c>
      <c r="D468" s="8">
        <v>8.3056895056664408E-3</v>
      </c>
      <c r="E468" s="10">
        <v>2.8139672908723599</v>
      </c>
      <c r="F468" s="13">
        <v>5.1094921479205299E-10</v>
      </c>
    </row>
    <row r="469" spans="1:6" x14ac:dyDescent="0.2">
      <c r="A469" s="8" t="s">
        <v>434</v>
      </c>
      <c r="B469" s="8" t="s">
        <v>435</v>
      </c>
      <c r="C469" s="8">
        <v>2.4846481499692401</v>
      </c>
      <c r="D469" s="9">
        <v>9.6834902660007604E-6</v>
      </c>
      <c r="E469" s="10">
        <v>-1.2691686722984401</v>
      </c>
      <c r="F469" s="13">
        <v>1.7884224241269901E-5</v>
      </c>
    </row>
    <row r="470" spans="1:6" x14ac:dyDescent="0.2">
      <c r="A470" s="8" t="s">
        <v>600</v>
      </c>
      <c r="B470" s="8" t="s">
        <v>601</v>
      </c>
      <c r="C470" s="8">
        <v>1.94925950313108</v>
      </c>
      <c r="D470" s="8">
        <v>1.2519064782617099E-2</v>
      </c>
      <c r="E470" s="10">
        <v>-1.49897576494719</v>
      </c>
      <c r="F470" s="13">
        <v>6.4279731010758197E-7</v>
      </c>
    </row>
    <row r="471" spans="1:6" x14ac:dyDescent="0.2">
      <c r="A471" s="8" t="s">
        <v>540</v>
      </c>
      <c r="B471" s="8" t="s">
        <v>541</v>
      </c>
      <c r="C471" s="8">
        <v>2.7609142343758601</v>
      </c>
      <c r="D471" s="8">
        <v>1.36204947442462E-3</v>
      </c>
      <c r="E471" s="10">
        <v>-2.3831039843725801</v>
      </c>
      <c r="F471" s="13">
        <v>2.0203679184309899E-7</v>
      </c>
    </row>
    <row r="472" spans="1:6" x14ac:dyDescent="0.2">
      <c r="A472" s="8" t="s">
        <v>1196</v>
      </c>
      <c r="B472" s="8" t="s">
        <v>1197</v>
      </c>
      <c r="C472" s="8">
        <v>1.00201406507363</v>
      </c>
      <c r="D472" s="8">
        <v>1.6760634831723901E-3</v>
      </c>
      <c r="E472" s="10">
        <v>-1.31745660033152</v>
      </c>
      <c r="F472" s="13">
        <v>2.8170941055899601E-5</v>
      </c>
    </row>
    <row r="473" spans="1:6" x14ac:dyDescent="0.2">
      <c r="A473" s="8" t="s">
        <v>90</v>
      </c>
      <c r="B473" s="8" t="s">
        <v>91</v>
      </c>
      <c r="C473" s="8">
        <v>1.85167439782676</v>
      </c>
      <c r="D473" s="8">
        <v>3.3381037819679E-4</v>
      </c>
      <c r="E473" s="10">
        <v>-2.2403430418725399</v>
      </c>
      <c r="F473" s="13">
        <v>2.2496199951194298E-8</v>
      </c>
    </row>
    <row r="474" spans="1:6" x14ac:dyDescent="0.2">
      <c r="A474" s="8" t="s">
        <v>648</v>
      </c>
      <c r="B474" s="8" t="s">
        <v>649</v>
      </c>
      <c r="C474" s="8">
        <v>1.14967308800735</v>
      </c>
      <c r="D474" s="8">
        <v>1.26768311588996E-2</v>
      </c>
      <c r="E474" s="10">
        <v>-2.8818311726144801</v>
      </c>
      <c r="F474" s="13">
        <v>8.1695113132615401E-15</v>
      </c>
    </row>
    <row r="475" spans="1:6" x14ac:dyDescent="0.2">
      <c r="A475" s="8" t="s">
        <v>20</v>
      </c>
      <c r="B475" s="8" t="s">
        <v>21</v>
      </c>
      <c r="C475" s="8">
        <v>3.3618398317929299</v>
      </c>
      <c r="D475" s="8">
        <v>1.38178936333427E-3</v>
      </c>
      <c r="E475" s="10">
        <v>1.1245009122049801</v>
      </c>
      <c r="F475" s="10">
        <v>1.9990146698245899E-4</v>
      </c>
    </row>
    <row r="476" spans="1:6" x14ac:dyDescent="0.2">
      <c r="A476" s="8" t="s">
        <v>1154</v>
      </c>
      <c r="B476" s="8" t="s">
        <v>1155</v>
      </c>
      <c r="C476" s="8">
        <v>-1.1057941664842701</v>
      </c>
      <c r="D476" s="8">
        <v>3.7575173382394201E-3</v>
      </c>
      <c r="E476" s="10">
        <v>-2.4103649293268798</v>
      </c>
      <c r="F476" s="13">
        <v>1.08995449867792E-12</v>
      </c>
    </row>
    <row r="477" spans="1:6" x14ac:dyDescent="0.2">
      <c r="A477" s="8" t="s">
        <v>288</v>
      </c>
      <c r="B477" s="8" t="s">
        <v>289</v>
      </c>
      <c r="C477" s="8">
        <v>1.90826721352817</v>
      </c>
      <c r="D477" s="8">
        <v>4.3416925124155001E-2</v>
      </c>
      <c r="E477" s="10">
        <v>3.1368990069814502</v>
      </c>
      <c r="F477" s="13">
        <v>2.6760699673944599E-31</v>
      </c>
    </row>
    <row r="478" spans="1:6" x14ac:dyDescent="0.2">
      <c r="A478" s="8" t="s">
        <v>1150</v>
      </c>
      <c r="B478" s="8" t="s">
        <v>1151</v>
      </c>
      <c r="C478" s="8">
        <v>1.9458427564108001</v>
      </c>
      <c r="D478" s="8">
        <v>1.0328053156026501E-3</v>
      </c>
      <c r="E478" s="10">
        <v>-2.3671410175226799</v>
      </c>
      <c r="F478" s="13">
        <v>1.24774084441095E-5</v>
      </c>
    </row>
    <row r="479" spans="1:6" x14ac:dyDescent="0.2">
      <c r="A479" s="8" t="s">
        <v>226</v>
      </c>
      <c r="B479" s="8" t="s">
        <v>227</v>
      </c>
      <c r="C479" s="8">
        <v>-1.2153558969904501</v>
      </c>
      <c r="D479" s="8">
        <v>3.3942635526921699E-2</v>
      </c>
      <c r="E479" s="10">
        <v>2.1816823215486201</v>
      </c>
      <c r="F479" s="13">
        <v>6.3398278368743599E-13</v>
      </c>
    </row>
    <row r="480" spans="1:6" x14ac:dyDescent="0.2">
      <c r="A480" s="8" t="s">
        <v>6</v>
      </c>
      <c r="B480" s="8" t="s">
        <v>7</v>
      </c>
      <c r="C480" s="8">
        <v>1.1516273112125099</v>
      </c>
      <c r="D480" s="8">
        <v>3.4847288995141099E-2</v>
      </c>
      <c r="E480" s="10">
        <v>-2.8897148000904398</v>
      </c>
      <c r="F480" s="13">
        <v>2.3192938599908099E-10</v>
      </c>
    </row>
    <row r="481" spans="1:6" x14ac:dyDescent="0.2">
      <c r="A481" s="8" t="s">
        <v>220</v>
      </c>
      <c r="B481" s="8" t="s">
        <v>221</v>
      </c>
      <c r="C481" s="8">
        <v>-1.6581774505897</v>
      </c>
      <c r="D481" s="8">
        <v>1.1182958029117E-2</v>
      </c>
      <c r="E481" s="10">
        <v>5.3722514872303</v>
      </c>
      <c r="F481" s="13">
        <v>2.3965747929649402E-37</v>
      </c>
    </row>
    <row r="482" spans="1:6" x14ac:dyDescent="0.2">
      <c r="A482" s="8" t="s">
        <v>552</v>
      </c>
      <c r="B482" s="8" t="s">
        <v>553</v>
      </c>
      <c r="C482" s="8">
        <v>1.5596029197351899</v>
      </c>
      <c r="D482" s="8">
        <v>3.7482247191037402E-3</v>
      </c>
      <c r="E482" s="10">
        <v>-1.1180121739939299</v>
      </c>
      <c r="F482" s="13">
        <v>7.2217783961866605E-5</v>
      </c>
    </row>
    <row r="483" spans="1:6" x14ac:dyDescent="0.2">
      <c r="A483" s="8" t="s">
        <v>710</v>
      </c>
      <c r="B483" s="8" t="s">
        <v>711</v>
      </c>
      <c r="C483" s="8">
        <v>1.0577790077347</v>
      </c>
      <c r="D483" s="8">
        <v>1.8693542342134201E-3</v>
      </c>
      <c r="E483" s="10">
        <v>-2.22974269974983</v>
      </c>
      <c r="F483" s="13">
        <v>3.97398038965951E-18</v>
      </c>
    </row>
    <row r="484" spans="1:6" x14ac:dyDescent="0.2">
      <c r="A484" s="8" t="s">
        <v>612</v>
      </c>
      <c r="B484" s="8" t="s">
        <v>613</v>
      </c>
      <c r="C484" s="8">
        <v>2.6765386265281901</v>
      </c>
      <c r="D484" s="8">
        <v>1.9539385437494901E-2</v>
      </c>
      <c r="E484" s="10">
        <v>-2.2340103559407001</v>
      </c>
      <c r="F484" s="13">
        <v>5.1693562385167403E-14</v>
      </c>
    </row>
    <row r="485" spans="1:6" x14ac:dyDescent="0.2">
      <c r="A485" s="8" t="s">
        <v>1108</v>
      </c>
      <c r="B485" s="8" t="s">
        <v>1109</v>
      </c>
      <c r="C485" s="8">
        <v>-1.5961531300840801</v>
      </c>
      <c r="D485" s="8">
        <v>4.5878457424749601E-2</v>
      </c>
      <c r="E485" s="10">
        <v>5.1334301643660103</v>
      </c>
      <c r="F485" s="13">
        <v>7.9638677823628796E-16</v>
      </c>
    </row>
    <row r="486" spans="1:6" x14ac:dyDescent="0.2">
      <c r="A486" s="8" t="s">
        <v>258</v>
      </c>
      <c r="B486" s="8" t="s">
        <v>259</v>
      </c>
      <c r="C486" s="8">
        <v>3.6376757697593498</v>
      </c>
      <c r="D486" s="8">
        <v>1.9609751474144201E-2</v>
      </c>
      <c r="E486" s="10">
        <v>-1.0499248779244501</v>
      </c>
      <c r="F486" s="10">
        <v>1.7426952154355E-3</v>
      </c>
    </row>
    <row r="487" spans="1:6" x14ac:dyDescent="0.2">
      <c r="A487" s="8" t="s">
        <v>1030</v>
      </c>
      <c r="B487" s="8" t="s">
        <v>1031</v>
      </c>
      <c r="C487" s="8">
        <v>-1.4525859790286</v>
      </c>
      <c r="D487" s="8">
        <v>3.8176551400271298E-2</v>
      </c>
      <c r="E487" s="10">
        <v>2.8204566972512701</v>
      </c>
      <c r="F487" s="10">
        <v>1.96222702051251E-4</v>
      </c>
    </row>
    <row r="488" spans="1:6" x14ac:dyDescent="0.2">
      <c r="A488" s="8" t="s">
        <v>122</v>
      </c>
      <c r="B488" s="8" t="s">
        <v>123</v>
      </c>
      <c r="C488" s="8">
        <v>1.2022554708897999</v>
      </c>
      <c r="D488" s="8">
        <v>1.9241672501126E-2</v>
      </c>
      <c r="E488" s="10">
        <v>1.09451622207059</v>
      </c>
      <c r="F488" s="10">
        <v>1.6473747791285299E-4</v>
      </c>
    </row>
    <row r="489" spans="1:6" x14ac:dyDescent="0.2">
      <c r="A489" s="8" t="s">
        <v>1096</v>
      </c>
      <c r="B489" s="8" t="s">
        <v>1097</v>
      </c>
      <c r="C489" s="8">
        <v>-1.1206316666218401</v>
      </c>
      <c r="D489" s="8">
        <v>2.0487171176998102E-3</v>
      </c>
      <c r="E489" s="10">
        <v>2.7007946307119899</v>
      </c>
      <c r="F489" s="13">
        <v>4.9559202545528599E-21</v>
      </c>
    </row>
    <row r="490" spans="1:6" x14ac:dyDescent="0.2">
      <c r="A490" s="8" t="s">
        <v>1128</v>
      </c>
      <c r="B490" s="8" t="s">
        <v>1129</v>
      </c>
      <c r="C490" s="8">
        <v>-1.81325905476224</v>
      </c>
      <c r="D490" s="8">
        <v>2.05224118540474E-2</v>
      </c>
      <c r="E490" s="10">
        <v>2.9261295701761401</v>
      </c>
      <c r="F490" s="10">
        <v>2.08655923948465E-3</v>
      </c>
    </row>
    <row r="491" spans="1:6" x14ac:dyDescent="0.2">
      <c r="A491" s="8" t="s">
        <v>38</v>
      </c>
      <c r="B491" s="8" t="s">
        <v>39</v>
      </c>
      <c r="C491" s="8">
        <v>-2.65760486285029</v>
      </c>
      <c r="D491" s="8">
        <v>4.5510393346207998E-4</v>
      </c>
      <c r="E491" s="10">
        <v>6.6249897095823096</v>
      </c>
      <c r="F491" s="13">
        <v>2.7941335681132899E-27</v>
      </c>
    </row>
    <row r="492" spans="1:6" x14ac:dyDescent="0.2">
      <c r="A492" s="8" t="s">
        <v>218</v>
      </c>
      <c r="B492" s="8" t="s">
        <v>219</v>
      </c>
      <c r="C492" s="8">
        <v>2.2167285685663498</v>
      </c>
      <c r="D492" s="8">
        <v>2.2990912082332299E-2</v>
      </c>
      <c r="E492" s="10">
        <v>-1.31418995197309</v>
      </c>
      <c r="F492" s="13">
        <v>1.7122914957035101E-6</v>
      </c>
    </row>
    <row r="493" spans="1:6" x14ac:dyDescent="0.2">
      <c r="A493" s="8" t="s">
        <v>1158</v>
      </c>
      <c r="B493" s="8" t="s">
        <v>1159</v>
      </c>
      <c r="C493" s="8">
        <v>-1.4616990689327301</v>
      </c>
      <c r="D493" s="8">
        <v>3.1463836933154502E-3</v>
      </c>
      <c r="E493" s="10">
        <v>-1.3548801697522399</v>
      </c>
      <c r="F493" s="13">
        <v>1.16816835464792E-5</v>
      </c>
    </row>
    <row r="494" spans="1:6" x14ac:dyDescent="0.2">
      <c r="A494" s="8" t="s">
        <v>264</v>
      </c>
      <c r="B494" s="8" t="s">
        <v>265</v>
      </c>
      <c r="C494" s="8">
        <v>-1.60057837048454</v>
      </c>
      <c r="D494" s="8">
        <v>2.28157585443408E-3</v>
      </c>
      <c r="E494" s="10">
        <v>-2.6227203139976498</v>
      </c>
      <c r="F494" s="13">
        <v>3.2372417654217501E-15</v>
      </c>
    </row>
    <row r="495" spans="1:6" x14ac:dyDescent="0.2">
      <c r="A495" s="8" t="s">
        <v>538</v>
      </c>
      <c r="B495" s="8" t="s">
        <v>539</v>
      </c>
      <c r="C495" s="8">
        <v>1.73109835667307</v>
      </c>
      <c r="D495" s="8">
        <v>2.1698575725264701E-3</v>
      </c>
      <c r="E495" s="10">
        <v>-1.70377188607934</v>
      </c>
      <c r="F495" s="10">
        <v>1.15743538217333E-2</v>
      </c>
    </row>
    <row r="496" spans="1:6" x14ac:dyDescent="0.2">
      <c r="A496" s="8" t="s">
        <v>234</v>
      </c>
      <c r="B496" s="8" t="s">
        <v>235</v>
      </c>
      <c r="C496" s="8">
        <v>-1.7861619850066399</v>
      </c>
      <c r="D496" s="8">
        <v>2.14300965691432E-2</v>
      </c>
      <c r="E496" s="10">
        <v>2.26361089946655</v>
      </c>
      <c r="F496" s="13">
        <v>7.1705294440858504E-9</v>
      </c>
    </row>
    <row r="497" spans="1:6" x14ac:dyDescent="0.2">
      <c r="A497" s="8" t="s">
        <v>1020</v>
      </c>
      <c r="B497" s="8" t="s">
        <v>1021</v>
      </c>
      <c r="C497" s="8">
        <v>-1.2077787302265399</v>
      </c>
      <c r="D497" s="8">
        <v>7.6760086137630202E-3</v>
      </c>
      <c r="E497" s="10">
        <v>-1.4276036804125101</v>
      </c>
      <c r="F497" s="10">
        <v>4.6600917926635397E-3</v>
      </c>
    </row>
    <row r="498" spans="1:6" x14ac:dyDescent="0.2">
      <c r="A498" s="8" t="s">
        <v>1146</v>
      </c>
      <c r="B498" s="8" t="s">
        <v>1147</v>
      </c>
      <c r="C498" s="8">
        <v>2.2639298607249199</v>
      </c>
      <c r="D498" s="8">
        <v>1.2805630174032599E-2</v>
      </c>
      <c r="E498" s="10">
        <v>-3.1588596455567202</v>
      </c>
      <c r="F498" s="13">
        <v>4.0847227255438101E-14</v>
      </c>
    </row>
    <row r="499" spans="1:6" x14ac:dyDescent="0.2">
      <c r="A499" s="8" t="s">
        <v>276</v>
      </c>
      <c r="B499" s="8" t="s">
        <v>277</v>
      </c>
      <c r="C499" s="8">
        <v>1.1163358777199699</v>
      </c>
      <c r="D499" s="8">
        <v>1.0260595291509899E-3</v>
      </c>
      <c r="E499" s="10">
        <v>-2.2885049234641901</v>
      </c>
      <c r="F499" s="13">
        <v>2.0132031681152E-17</v>
      </c>
    </row>
    <row r="500" spans="1:6" x14ac:dyDescent="0.2">
      <c r="A500" s="8" t="s">
        <v>160</v>
      </c>
      <c r="B500" s="8" t="s">
        <v>161</v>
      </c>
      <c r="C500" s="8">
        <v>-2.3328989628069801</v>
      </c>
      <c r="D500" s="8">
        <v>2.82415551142698E-2</v>
      </c>
      <c r="E500" s="10">
        <v>3.8193468493090901</v>
      </c>
      <c r="F500" s="10">
        <v>1.05520708907441E-4</v>
      </c>
    </row>
    <row r="501" spans="1:6" x14ac:dyDescent="0.2">
      <c r="A501" s="8" t="s">
        <v>692</v>
      </c>
      <c r="B501" s="8" t="s">
        <v>693</v>
      </c>
      <c r="C501" s="8">
        <v>-1.3640771909573</v>
      </c>
      <c r="D501" s="8">
        <v>4.76837684617765E-2</v>
      </c>
      <c r="E501" s="10">
        <v>2.0488304316079602</v>
      </c>
      <c r="F501" s="10">
        <v>2.1202396120937198E-3</v>
      </c>
    </row>
    <row r="502" spans="1:6" x14ac:dyDescent="0.2">
      <c r="A502" s="8" t="s">
        <v>918</v>
      </c>
      <c r="B502" s="8" t="s">
        <v>919</v>
      </c>
      <c r="C502" s="8">
        <v>-1.7258431106686101</v>
      </c>
      <c r="D502" s="8">
        <v>8.1759987056787501E-3</v>
      </c>
      <c r="E502" s="10">
        <v>4.0297504229830796</v>
      </c>
      <c r="F502" s="13">
        <v>2.6896385724892999E-11</v>
      </c>
    </row>
    <row r="503" spans="1:6" x14ac:dyDescent="0.2">
      <c r="A503" s="8" t="s">
        <v>670</v>
      </c>
      <c r="B503" s="8" t="s">
        <v>671</v>
      </c>
      <c r="C503" s="8">
        <v>-1.56201945868225</v>
      </c>
      <c r="D503" s="8">
        <v>2.72941720236131E-2</v>
      </c>
      <c r="E503" s="10">
        <v>-2.36602800808999</v>
      </c>
      <c r="F503" s="10">
        <v>1.5713273892992701E-3</v>
      </c>
    </row>
    <row r="504" spans="1:6" x14ac:dyDescent="0.2">
      <c r="A504" s="8" t="s">
        <v>610</v>
      </c>
      <c r="B504" s="8" t="s">
        <v>611</v>
      </c>
      <c r="C504" s="8">
        <v>1.0422839257768099</v>
      </c>
      <c r="D504" s="8">
        <v>6.2303080689104897E-3</v>
      </c>
      <c r="E504" s="10">
        <v>-3.1600934571919699</v>
      </c>
      <c r="F504" s="13">
        <v>3.8943865512292902E-26</v>
      </c>
    </row>
    <row r="505" spans="1:6" x14ac:dyDescent="0.2">
      <c r="A505" s="8" t="s">
        <v>1232</v>
      </c>
      <c r="B505" s="8" t="s">
        <v>1233</v>
      </c>
      <c r="C505" s="8">
        <v>1.2767258680137701</v>
      </c>
      <c r="D505" s="8">
        <v>1.7105870497011299E-2</v>
      </c>
      <c r="E505" s="10">
        <v>-2.2704184791445301</v>
      </c>
      <c r="F505" s="13">
        <v>1.55179953040412E-7</v>
      </c>
    </row>
    <row r="506" spans="1:6" x14ac:dyDescent="0.2">
      <c r="A506" s="8" t="s">
        <v>1066</v>
      </c>
      <c r="B506" s="8" t="s">
        <v>1067</v>
      </c>
      <c r="C506" s="8">
        <v>-1.2071391035252499</v>
      </c>
      <c r="D506" s="8">
        <v>8.9004426761190806E-3</v>
      </c>
      <c r="E506" s="10">
        <v>2.2204048946455699</v>
      </c>
      <c r="F506" s="13">
        <v>1.9407378667196899E-11</v>
      </c>
    </row>
    <row r="507" spans="1:6" x14ac:dyDescent="0.2">
      <c r="A507" s="8" t="s">
        <v>28</v>
      </c>
      <c r="B507" s="8" t="s">
        <v>29</v>
      </c>
      <c r="C507" s="8">
        <v>1.0029020508397599</v>
      </c>
      <c r="D507" s="8">
        <v>1.89406244146062E-3</v>
      </c>
      <c r="E507" s="10">
        <v>-1.2840378770830001</v>
      </c>
      <c r="F507" s="13">
        <v>2.3048400657341801E-6</v>
      </c>
    </row>
    <row r="508" spans="1:6" x14ac:dyDescent="0.2">
      <c r="A508" s="8" t="s">
        <v>1276</v>
      </c>
      <c r="B508" s="8" t="s">
        <v>1277</v>
      </c>
      <c r="C508" s="8">
        <v>1.5029049487791999</v>
      </c>
      <c r="D508" s="8">
        <v>2.2979992988098998E-3</v>
      </c>
      <c r="E508" s="10">
        <v>-1.9324230127409201</v>
      </c>
      <c r="F508" s="13">
        <v>6.2583550084817995E-5</v>
      </c>
    </row>
    <row r="509" spans="1:6" x14ac:dyDescent="0.2">
      <c r="A509" s="8" t="s">
        <v>108</v>
      </c>
      <c r="B509" s="8" t="s">
        <v>109</v>
      </c>
      <c r="C509" s="8">
        <v>1.1529979911633901</v>
      </c>
      <c r="D509" s="8">
        <v>2.1616020428693799E-2</v>
      </c>
      <c r="E509" s="10">
        <v>-1.2925120892367099</v>
      </c>
      <c r="F509" s="13">
        <v>1.1763698272551901E-6</v>
      </c>
    </row>
    <row r="510" spans="1:6" x14ac:dyDescent="0.2">
      <c r="A510" s="8" t="s">
        <v>762</v>
      </c>
      <c r="B510" s="8" t="s">
        <v>763</v>
      </c>
      <c r="C510" s="8">
        <v>-1.0616023138806401</v>
      </c>
      <c r="D510" s="8">
        <v>1.0024309507562E-2</v>
      </c>
      <c r="E510" s="10">
        <v>-2.04380760382685</v>
      </c>
      <c r="F510" s="10">
        <v>2.2600494385004101E-4</v>
      </c>
    </row>
    <row r="511" spans="1:6" x14ac:dyDescent="0.2">
      <c r="A511" s="8" t="s">
        <v>402</v>
      </c>
      <c r="B511" s="8" t="s">
        <v>403</v>
      </c>
      <c r="C511" s="8">
        <v>1.5818854027273399</v>
      </c>
      <c r="D511" s="8">
        <v>1.26890075517992E-3</v>
      </c>
      <c r="E511" s="10">
        <v>-1.8337408732199101</v>
      </c>
      <c r="F511" s="13">
        <v>4.83108867534898E-12</v>
      </c>
    </row>
    <row r="512" spans="1:6" x14ac:dyDescent="0.2">
      <c r="A512" s="8" t="s">
        <v>1006</v>
      </c>
      <c r="B512" s="8" t="s">
        <v>1007</v>
      </c>
      <c r="C512" s="8">
        <v>-1.6280147977678401</v>
      </c>
      <c r="D512" s="8">
        <v>1.4686076706618E-3</v>
      </c>
      <c r="E512" s="10">
        <v>-2.0882149060973498</v>
      </c>
      <c r="F512" s="13">
        <v>4.9691427969738496E-9</v>
      </c>
    </row>
    <row r="513" spans="1:6" x14ac:dyDescent="0.2">
      <c r="A513" s="8" t="s">
        <v>1216</v>
      </c>
      <c r="B513" s="8" t="s">
        <v>1217</v>
      </c>
      <c r="C513" s="8">
        <v>-2.0303919719703298</v>
      </c>
      <c r="D513" s="8">
        <v>3.1362612991569103E-2</v>
      </c>
      <c r="E513" s="10">
        <v>6.9043272341598296</v>
      </c>
      <c r="F513" s="13">
        <v>1.36049873862783E-9</v>
      </c>
    </row>
    <row r="514" spans="1:6" x14ac:dyDescent="0.2">
      <c r="A514" s="8" t="s">
        <v>1198</v>
      </c>
      <c r="B514" s="8" t="s">
        <v>1199</v>
      </c>
      <c r="C514" s="8">
        <v>-1.01701089172253</v>
      </c>
      <c r="D514" s="8">
        <v>4.6035052205383203E-2</v>
      </c>
      <c r="E514" s="10">
        <v>5.1116451348534397</v>
      </c>
      <c r="F514" s="13">
        <v>2.6258924764510401E-62</v>
      </c>
    </row>
    <row r="515" spans="1:6" x14ac:dyDescent="0.2">
      <c r="A515" s="8" t="s">
        <v>838</v>
      </c>
      <c r="B515" s="8" t="s">
        <v>839</v>
      </c>
      <c r="C515" s="8">
        <v>1.16197971387822</v>
      </c>
      <c r="D515" s="8">
        <v>4.3102054393710801E-2</v>
      </c>
      <c r="E515" s="10">
        <v>2.5839069908357999</v>
      </c>
      <c r="F515" s="10">
        <v>2.6578171645017198E-3</v>
      </c>
    </row>
    <row r="516" spans="1:6" x14ac:dyDescent="0.2">
      <c r="A516" s="8" t="s">
        <v>418</v>
      </c>
      <c r="B516" s="8" t="s">
        <v>419</v>
      </c>
      <c r="C516" s="8">
        <v>-1.04807829046787</v>
      </c>
      <c r="D516" s="8">
        <v>2.6492878994378799E-2</v>
      </c>
      <c r="E516" s="10">
        <v>2.88060700313358</v>
      </c>
      <c r="F516" s="13">
        <v>2.7719613730109002E-15</v>
      </c>
    </row>
    <row r="517" spans="1:6" x14ac:dyDescent="0.2">
      <c r="A517" s="8" t="s">
        <v>242</v>
      </c>
      <c r="B517" s="8" t="s">
        <v>243</v>
      </c>
      <c r="C517" s="8">
        <v>2.06228473348621</v>
      </c>
      <c r="D517" s="8">
        <v>5.2876046754208404E-3</v>
      </c>
      <c r="E517" s="10">
        <v>1.25231416954778</v>
      </c>
      <c r="F517" s="10">
        <v>1.20736646419997E-2</v>
      </c>
    </row>
    <row r="518" spans="1:6" x14ac:dyDescent="0.2">
      <c r="A518" s="8" t="s">
        <v>738</v>
      </c>
      <c r="B518" s="8" t="s">
        <v>739</v>
      </c>
      <c r="C518" s="8">
        <v>1.38437643332831</v>
      </c>
      <c r="D518" s="8">
        <v>4.4174645991396699E-2</v>
      </c>
      <c r="E518" s="10">
        <v>-1.4360037175254601</v>
      </c>
      <c r="F518" s="13">
        <v>7.4893747638626995E-5</v>
      </c>
    </row>
    <row r="519" spans="1:6" x14ac:dyDescent="0.2">
      <c r="A519" s="8" t="s">
        <v>698</v>
      </c>
      <c r="B519" s="8" t="s">
        <v>699</v>
      </c>
      <c r="C519" s="8">
        <v>-1.0098775862868401</v>
      </c>
      <c r="D519" s="8">
        <v>2.7086773713008001E-2</v>
      </c>
      <c r="E519" s="10">
        <v>1.5560671381131801</v>
      </c>
      <c r="F519" s="10">
        <v>2.4646686233445298E-3</v>
      </c>
    </row>
    <row r="520" spans="1:6" x14ac:dyDescent="0.2">
      <c r="A520" s="8" t="s">
        <v>398</v>
      </c>
      <c r="B520" s="8" t="s">
        <v>399</v>
      </c>
      <c r="C520" s="8">
        <v>1.29969752622821</v>
      </c>
      <c r="D520" s="8">
        <v>1.6022035872534E-2</v>
      </c>
      <c r="E520" s="10">
        <v>-1.9575311784625899</v>
      </c>
      <c r="F520" s="13">
        <v>7.3735927665818506E-12</v>
      </c>
    </row>
    <row r="521" spans="1:6" x14ac:dyDescent="0.2">
      <c r="A521" s="8" t="s">
        <v>1264</v>
      </c>
      <c r="B521" s="8" t="s">
        <v>1265</v>
      </c>
      <c r="C521" s="8">
        <v>-1.6529393516346</v>
      </c>
      <c r="D521" s="8">
        <v>2.6472565221144901E-2</v>
      </c>
      <c r="E521" s="10">
        <v>3.7368576922600898</v>
      </c>
      <c r="F521" s="13">
        <v>1.7098378192907499E-29</v>
      </c>
    </row>
    <row r="522" spans="1:6" x14ac:dyDescent="0.2">
      <c r="A522" s="8" t="s">
        <v>1148</v>
      </c>
      <c r="B522" s="8" t="s">
        <v>1149</v>
      </c>
      <c r="C522" s="8">
        <v>-1.72355864274417</v>
      </c>
      <c r="D522" s="8">
        <v>1.97755301143532E-2</v>
      </c>
      <c r="E522" s="10">
        <v>1.6033435557733799</v>
      </c>
      <c r="F522" s="10">
        <v>3.0316176657766299E-3</v>
      </c>
    </row>
    <row r="523" spans="1:6" x14ac:dyDescent="0.2">
      <c r="A523" s="8" t="s">
        <v>1122</v>
      </c>
      <c r="B523" s="8" t="s">
        <v>1123</v>
      </c>
      <c r="C523" s="8">
        <v>-1.3920568179439501</v>
      </c>
      <c r="D523" s="8">
        <v>1.9535415227560901E-2</v>
      </c>
      <c r="E523" s="10">
        <v>-1.4721876035841199</v>
      </c>
      <c r="F523" s="13">
        <v>4.6864718954123798E-6</v>
      </c>
    </row>
    <row r="524" spans="1:6" x14ac:dyDescent="0.2">
      <c r="A524" s="8" t="s">
        <v>608</v>
      </c>
      <c r="B524" s="8" t="s">
        <v>609</v>
      </c>
      <c r="C524" s="8">
        <v>-1.11014679620441</v>
      </c>
      <c r="D524" s="8">
        <v>4.6997239664359397E-2</v>
      </c>
      <c r="E524" s="10">
        <v>3.5798005558977302</v>
      </c>
      <c r="F524" s="13">
        <v>4.4075752679562398E-19</v>
      </c>
    </row>
    <row r="525" spans="1:6" x14ac:dyDescent="0.2">
      <c r="A525" s="8" t="s">
        <v>686</v>
      </c>
      <c r="B525" s="8" t="s">
        <v>687</v>
      </c>
      <c r="C525" s="8">
        <v>1.29618852918634</v>
      </c>
      <c r="D525" s="8">
        <v>2.2963251072957102E-3</v>
      </c>
      <c r="E525" s="10">
        <v>2.6518030637584098</v>
      </c>
      <c r="F525" s="13">
        <v>3.5117326652982697E-23</v>
      </c>
    </row>
    <row r="526" spans="1:6" x14ac:dyDescent="0.2">
      <c r="A526" s="8" t="s">
        <v>944</v>
      </c>
      <c r="B526" s="8" t="s">
        <v>945</v>
      </c>
      <c r="C526" s="8">
        <v>-1.3421052525574</v>
      </c>
      <c r="D526" s="8">
        <v>4.7205132352663597E-2</v>
      </c>
      <c r="E526" s="10">
        <v>1.7566080140634901</v>
      </c>
      <c r="F526" s="13">
        <v>8.2789640029733399E-7</v>
      </c>
    </row>
    <row r="527" spans="1:6" x14ac:dyDescent="0.2">
      <c r="A527" s="8" t="s">
        <v>1164</v>
      </c>
      <c r="B527" s="8" t="s">
        <v>1165</v>
      </c>
      <c r="C527" s="8">
        <v>1.1624093821294099</v>
      </c>
      <c r="D527" s="8">
        <v>2.6019113253233202E-2</v>
      </c>
      <c r="E527" s="10">
        <v>-1.81087207929688</v>
      </c>
      <c r="F527" s="10">
        <v>1.06973176822026E-3</v>
      </c>
    </row>
    <row r="528" spans="1:6" x14ac:dyDescent="0.2">
      <c r="A528" s="8" t="s">
        <v>550</v>
      </c>
      <c r="B528" s="8" t="s">
        <v>551</v>
      </c>
      <c r="C528" s="8">
        <v>-1.42715250043484</v>
      </c>
      <c r="D528" s="8">
        <v>4.09996551212502E-3</v>
      </c>
      <c r="E528" s="10">
        <v>-5.2676780429413901</v>
      </c>
      <c r="F528" s="13">
        <v>2.76632031738129E-46</v>
      </c>
    </row>
    <row r="529" spans="1:6" x14ac:dyDescent="0.2">
      <c r="A529" s="8" t="s">
        <v>406</v>
      </c>
      <c r="B529" s="8" t="s">
        <v>407</v>
      </c>
      <c r="C529" s="8">
        <v>1.4148106383660499</v>
      </c>
      <c r="D529" s="8">
        <v>2.32979027661359E-2</v>
      </c>
      <c r="E529" s="10">
        <v>-5.8604802052574003</v>
      </c>
      <c r="F529" s="13">
        <v>1.27509384795274E-49</v>
      </c>
    </row>
    <row r="530" spans="1:6" x14ac:dyDescent="0.2">
      <c r="A530" s="8" t="s">
        <v>734</v>
      </c>
      <c r="B530" s="8" t="s">
        <v>735</v>
      </c>
      <c r="C530" s="8">
        <v>-2.1401648226349002</v>
      </c>
      <c r="D530" s="8">
        <v>6.4477659553773096E-3</v>
      </c>
      <c r="E530" s="10">
        <v>5.1692265004407298</v>
      </c>
      <c r="F530" s="13">
        <v>1.9096670711636199E-25</v>
      </c>
    </row>
    <row r="531" spans="1:6" x14ac:dyDescent="0.2">
      <c r="A531" s="8" t="s">
        <v>728</v>
      </c>
      <c r="B531" s="8" t="s">
        <v>729</v>
      </c>
      <c r="C531" s="8">
        <v>-1.35580957457588</v>
      </c>
      <c r="D531" s="8">
        <v>3.81325433788662E-2</v>
      </c>
      <c r="E531" s="10">
        <v>3.4652619444332098</v>
      </c>
      <c r="F531" s="13">
        <v>8.93188095683569E-14</v>
      </c>
    </row>
    <row r="532" spans="1:6" x14ac:dyDescent="0.2">
      <c r="A532" s="8" t="s">
        <v>278</v>
      </c>
      <c r="B532" s="8" t="s">
        <v>279</v>
      </c>
      <c r="C532" s="8">
        <v>1.3451476735977801</v>
      </c>
      <c r="D532" s="8">
        <v>1.4823730748808101E-2</v>
      </c>
      <c r="E532" s="10">
        <v>-1.3812191229652</v>
      </c>
      <c r="F532" s="10">
        <v>2.6230484216480999E-4</v>
      </c>
    </row>
    <row r="533" spans="1:6" x14ac:dyDescent="0.2">
      <c r="A533" s="8" t="s">
        <v>1054</v>
      </c>
      <c r="B533" s="8" t="s">
        <v>1055</v>
      </c>
      <c r="C533" s="8">
        <v>-1.1147659862538899</v>
      </c>
      <c r="D533" s="8">
        <v>4.0333240852109702E-2</v>
      </c>
      <c r="E533" s="10">
        <v>1.7342488002412499</v>
      </c>
      <c r="F533" s="13">
        <v>9.5742902570109298E-6</v>
      </c>
    </row>
    <row r="534" spans="1:6" x14ac:dyDescent="0.2">
      <c r="A534" s="8" t="s">
        <v>1098</v>
      </c>
      <c r="B534" s="8" t="s">
        <v>1099</v>
      </c>
      <c r="C534" s="8">
        <v>-1.3580271005856599</v>
      </c>
      <c r="D534" s="8">
        <v>4.5833567494254199E-2</v>
      </c>
      <c r="E534" s="10">
        <v>4.8803657947962096</v>
      </c>
      <c r="F534" s="13">
        <v>2.8037068803034197E-20</v>
      </c>
    </row>
    <row r="535" spans="1:6" x14ac:dyDescent="0.2">
      <c r="A535" s="8" t="s">
        <v>106</v>
      </c>
      <c r="B535" s="8" t="s">
        <v>107</v>
      </c>
      <c r="C535" s="8">
        <v>1.4010078833369</v>
      </c>
      <c r="D535" s="8">
        <v>3.04956372839679E-2</v>
      </c>
      <c r="E535" s="10">
        <v>-1.9300109326651</v>
      </c>
      <c r="F535" s="13">
        <v>1.8657710643903299E-11</v>
      </c>
    </row>
    <row r="536" spans="1:6" x14ac:dyDescent="0.2">
      <c r="A536" s="8" t="s">
        <v>1228</v>
      </c>
      <c r="B536" s="8" t="s">
        <v>1229</v>
      </c>
      <c r="C536" s="8">
        <v>1.4091247055810801</v>
      </c>
      <c r="D536" s="8">
        <v>3.83988865382556E-2</v>
      </c>
      <c r="E536" s="10">
        <v>-1.1996324930398401</v>
      </c>
      <c r="F536" s="13">
        <v>2.6018981147531501E-6</v>
      </c>
    </row>
    <row r="537" spans="1:6" x14ac:dyDescent="0.2">
      <c r="A537" s="8" t="s">
        <v>696</v>
      </c>
      <c r="B537" s="8" t="s">
        <v>697</v>
      </c>
      <c r="C537" s="8">
        <v>-1.19399439341798</v>
      </c>
      <c r="D537" s="8">
        <v>3.6181324390317897E-2</v>
      </c>
      <c r="E537" s="10">
        <v>-1.5662702626025</v>
      </c>
      <c r="F537" s="10">
        <v>6.9525765975567502E-4</v>
      </c>
    </row>
    <row r="538" spans="1:6" x14ac:dyDescent="0.2">
      <c r="A538" s="8" t="s">
        <v>718</v>
      </c>
      <c r="B538" s="8" t="s">
        <v>719</v>
      </c>
      <c r="C538" s="8">
        <v>-1.8265420305326101</v>
      </c>
      <c r="D538" s="9">
        <v>4.4680575807411997E-5</v>
      </c>
      <c r="E538" s="10">
        <v>-2.6157722989711698</v>
      </c>
      <c r="F538" s="13">
        <v>1.48559281245445E-22</v>
      </c>
    </row>
    <row r="539" spans="1:6" x14ac:dyDescent="0.2">
      <c r="A539" s="8" t="s">
        <v>488</v>
      </c>
      <c r="B539" s="8" t="s">
        <v>489</v>
      </c>
      <c r="C539" s="8">
        <v>-1.1481513005698001</v>
      </c>
      <c r="D539" s="8">
        <v>1.9134509710097599E-3</v>
      </c>
      <c r="E539" s="10">
        <v>1.1320993241898201</v>
      </c>
      <c r="F539" s="10">
        <v>8.9849121063691195E-4</v>
      </c>
    </row>
    <row r="540" spans="1:6" x14ac:dyDescent="0.2">
      <c r="A540" s="8" t="s">
        <v>456</v>
      </c>
      <c r="B540" s="8" t="s">
        <v>457</v>
      </c>
      <c r="C540" s="8">
        <v>1.47809102733783</v>
      </c>
      <c r="D540" s="8">
        <v>1.29599520039311E-3</v>
      </c>
      <c r="E540" s="10">
        <v>-1.87956705532381</v>
      </c>
      <c r="F540" s="13">
        <v>1.18612591426304E-13</v>
      </c>
    </row>
    <row r="541" spans="1:6" x14ac:dyDescent="0.2">
      <c r="A541" s="8" t="s">
        <v>368</v>
      </c>
      <c r="B541" s="8" t="s">
        <v>369</v>
      </c>
      <c r="C541" s="8">
        <v>1.04011108408204</v>
      </c>
      <c r="D541" s="8">
        <v>1.02930333947509E-2</v>
      </c>
      <c r="E541" s="10">
        <v>-2.4522283716391402</v>
      </c>
      <c r="F541" s="13">
        <v>6.6803875627630604E-11</v>
      </c>
    </row>
    <row r="542" spans="1:6" x14ac:dyDescent="0.2">
      <c r="A542" s="8" t="s">
        <v>638</v>
      </c>
      <c r="B542" s="8" t="s">
        <v>639</v>
      </c>
      <c r="C542" s="8">
        <v>-1.3023501143970599</v>
      </c>
      <c r="D542" s="8">
        <v>4.61542827199709E-2</v>
      </c>
      <c r="E542" s="10">
        <v>-1.9013007481675701</v>
      </c>
      <c r="F542" s="10">
        <v>7.7531178388791297E-3</v>
      </c>
    </row>
    <row r="543" spans="1:6" x14ac:dyDescent="0.2">
      <c r="A543" s="8" t="s">
        <v>332</v>
      </c>
      <c r="B543" s="8" t="s">
        <v>333</v>
      </c>
      <c r="C543" s="8">
        <v>1.16725093057951</v>
      </c>
      <c r="D543" s="8">
        <v>7.2992248645267297E-3</v>
      </c>
      <c r="E543" s="10">
        <v>-2.41298786546675</v>
      </c>
      <c r="F543" s="13">
        <v>1.8378847539624101E-20</v>
      </c>
    </row>
    <row r="544" spans="1:6" x14ac:dyDescent="0.2">
      <c r="A544" s="8" t="s">
        <v>566</v>
      </c>
      <c r="B544" s="8" t="s">
        <v>567</v>
      </c>
      <c r="C544" s="8">
        <v>2.5659641207000599</v>
      </c>
      <c r="D544" s="8">
        <v>4.7578378056981896E-3</v>
      </c>
      <c r="E544" s="10">
        <v>-1.6146556149601901</v>
      </c>
      <c r="F544" s="10">
        <v>3.7546558673731602E-4</v>
      </c>
    </row>
    <row r="545" spans="1:6" x14ac:dyDescent="0.2">
      <c r="A545" s="8" t="s">
        <v>408</v>
      </c>
      <c r="B545" s="8" t="s">
        <v>409</v>
      </c>
      <c r="C545" s="8">
        <v>1.7004738173828</v>
      </c>
      <c r="D545" s="8">
        <v>4.03913688057859E-2</v>
      </c>
      <c r="E545" s="10">
        <v>-3.3956849867036598</v>
      </c>
      <c r="F545" s="10">
        <v>1.9406115981178101E-4</v>
      </c>
    </row>
    <row r="546" spans="1:6" x14ac:dyDescent="0.2">
      <c r="A546" s="8" t="s">
        <v>700</v>
      </c>
      <c r="B546" s="8" t="s">
        <v>701</v>
      </c>
      <c r="C546" s="8">
        <v>-1.2862109277111</v>
      </c>
      <c r="D546" s="8">
        <v>8.5615710598625303E-3</v>
      </c>
      <c r="E546" s="10">
        <v>2.5959413105152902</v>
      </c>
      <c r="F546" s="10">
        <v>9.0335333268624397E-4</v>
      </c>
    </row>
    <row r="547" spans="1:6" x14ac:dyDescent="0.2">
      <c r="A547" s="8" t="s">
        <v>864</v>
      </c>
      <c r="B547" s="8" t="s">
        <v>865</v>
      </c>
      <c r="C547" s="8">
        <v>-1.1708221935699801</v>
      </c>
      <c r="D547" s="8">
        <v>3.3562254775387698E-2</v>
      </c>
      <c r="E547" s="10">
        <v>2.0675987995799399</v>
      </c>
      <c r="F547" s="10">
        <v>1.4863158714749499E-3</v>
      </c>
    </row>
    <row r="548" spans="1:6" x14ac:dyDescent="0.2">
      <c r="A548" s="8" t="s">
        <v>182</v>
      </c>
      <c r="B548" s="8" t="s">
        <v>183</v>
      </c>
      <c r="C548" s="8">
        <v>1.5742946079881199</v>
      </c>
      <c r="D548" s="9">
        <v>9.2614092387702406E-5</v>
      </c>
      <c r="E548" s="10">
        <v>1.1753673919471801</v>
      </c>
      <c r="F548" s="10">
        <v>1.7496471643340601E-4</v>
      </c>
    </row>
    <row r="549" spans="1:6" x14ac:dyDescent="0.2">
      <c r="A549" s="8" t="s">
        <v>44</v>
      </c>
      <c r="B549" s="8" t="s">
        <v>45</v>
      </c>
      <c r="C549" s="8">
        <v>2.7743602426656802</v>
      </c>
      <c r="D549" s="8">
        <v>1.3090179229220101E-3</v>
      </c>
      <c r="E549" s="10">
        <v>-1.32187999441406</v>
      </c>
      <c r="F549" s="10">
        <v>1.2736780923013101E-4</v>
      </c>
    </row>
    <row r="550" spans="1:6" x14ac:dyDescent="0.2">
      <c r="A550" s="8" t="s">
        <v>266</v>
      </c>
      <c r="B550" s="8" t="s">
        <v>267</v>
      </c>
      <c r="C550" s="8">
        <v>2.38230948970735</v>
      </c>
      <c r="D550" s="8">
        <v>3.1387033610365401E-3</v>
      </c>
      <c r="E550" s="10">
        <v>-1.3529266764279799</v>
      </c>
      <c r="F550" s="13">
        <v>4.0612227826301399E-7</v>
      </c>
    </row>
    <row r="551" spans="1:6" x14ac:dyDescent="0.2">
      <c r="A551" s="8" t="s">
        <v>180</v>
      </c>
      <c r="B551" s="8" t="s">
        <v>181</v>
      </c>
      <c r="C551" s="8">
        <v>1.4337506126749999</v>
      </c>
      <c r="D551" s="8">
        <v>1.28089697861646E-2</v>
      </c>
      <c r="E551" s="10">
        <v>-2.4053496824048901</v>
      </c>
      <c r="F551" s="13">
        <v>3.2422121085534799E-15</v>
      </c>
    </row>
    <row r="552" spans="1:6" x14ac:dyDescent="0.2">
      <c r="A552" s="8" t="s">
        <v>542</v>
      </c>
      <c r="B552" s="8" t="s">
        <v>543</v>
      </c>
      <c r="C552" s="8">
        <v>1.2963214122669799</v>
      </c>
      <c r="D552" s="8">
        <v>1.0032829562288501E-3</v>
      </c>
      <c r="E552" s="10">
        <v>-1.8894042081053299</v>
      </c>
      <c r="F552" s="13">
        <v>4.5227387625862297E-14</v>
      </c>
    </row>
    <row r="553" spans="1:6" x14ac:dyDescent="0.2">
      <c r="A553" s="8" t="s">
        <v>786</v>
      </c>
      <c r="B553" s="8" t="s">
        <v>787</v>
      </c>
      <c r="C553" s="8">
        <v>1.6074311296167201</v>
      </c>
      <c r="D553" s="8">
        <v>5.2368286386584998E-4</v>
      </c>
      <c r="E553" s="10">
        <v>-1.32982205687597</v>
      </c>
      <c r="F553" s="10">
        <v>3.9910913317830701E-4</v>
      </c>
    </row>
    <row r="554" spans="1:6" x14ac:dyDescent="0.2">
      <c r="A554" s="8" t="s">
        <v>1168</v>
      </c>
      <c r="B554" s="8" t="s">
        <v>1169</v>
      </c>
      <c r="C554" s="8">
        <v>1.85598657194689</v>
      </c>
      <c r="D554" s="8">
        <v>1.5468595711395699E-2</v>
      </c>
      <c r="E554" s="10">
        <v>2.4275676044251302</v>
      </c>
      <c r="F554" s="13">
        <v>2.9454134833579E-16</v>
      </c>
    </row>
    <row r="555" spans="1:6" x14ac:dyDescent="0.2">
      <c r="A555" s="8" t="s">
        <v>940</v>
      </c>
      <c r="B555" s="8" t="s">
        <v>941</v>
      </c>
      <c r="C555" s="8">
        <v>2.82368442973649</v>
      </c>
      <c r="D555" s="8">
        <v>3.7328606048741999E-4</v>
      </c>
      <c r="E555" s="10">
        <v>-2.1574437271041198</v>
      </c>
      <c r="F555" s="10">
        <v>3.5470617949049702E-3</v>
      </c>
    </row>
    <row r="556" spans="1:6" x14ac:dyDescent="0.2">
      <c r="A556" s="8" t="s">
        <v>1140</v>
      </c>
      <c r="B556" s="8" t="s">
        <v>1141</v>
      </c>
      <c r="C556" s="8">
        <v>-3.25550365296293</v>
      </c>
      <c r="D556" s="8">
        <v>2.91974104191247E-3</v>
      </c>
      <c r="E556" s="10">
        <v>3.0379142143328601</v>
      </c>
      <c r="F556" s="10">
        <v>4.4240403918828399E-4</v>
      </c>
    </row>
    <row r="557" spans="1:6" x14ac:dyDescent="0.2">
      <c r="A557" s="8" t="s">
        <v>324</v>
      </c>
      <c r="B557" s="8" t="s">
        <v>325</v>
      </c>
      <c r="C557" s="8">
        <v>3.6982434399703199</v>
      </c>
      <c r="D557" s="8">
        <v>1.49332956529205E-2</v>
      </c>
      <c r="E557" s="10">
        <v>-4.1287503790436304</v>
      </c>
      <c r="F557" s="13">
        <v>5.9703521751350302E-5</v>
      </c>
    </row>
    <row r="558" spans="1:6" x14ac:dyDescent="0.2">
      <c r="A558" s="8" t="s">
        <v>1024</v>
      </c>
      <c r="B558" s="8" t="s">
        <v>1025</v>
      </c>
      <c r="C558" s="8">
        <v>2.36547654374484</v>
      </c>
      <c r="D558" s="8">
        <v>1.7073388375217201E-4</v>
      </c>
      <c r="E558" s="10">
        <v>-3.3330589551488301</v>
      </c>
      <c r="F558" s="13">
        <v>7.6277145923657494E-24</v>
      </c>
    </row>
    <row r="559" spans="1:6" x14ac:dyDescent="0.2">
      <c r="A559" s="8" t="s">
        <v>320</v>
      </c>
      <c r="B559" s="8" t="s">
        <v>321</v>
      </c>
      <c r="C559" s="8">
        <v>-1.4554875055758301</v>
      </c>
      <c r="D559" s="8">
        <v>2.0540550818752501E-2</v>
      </c>
      <c r="E559" s="10">
        <v>2.5203852358429799</v>
      </c>
      <c r="F559" s="10">
        <v>3.3179130270031298E-3</v>
      </c>
    </row>
    <row r="560" spans="1:6" x14ac:dyDescent="0.2">
      <c r="A560" s="8" t="s">
        <v>322</v>
      </c>
      <c r="B560" s="8" t="s">
        <v>323</v>
      </c>
      <c r="C560" s="8">
        <v>-1.3842276233836199</v>
      </c>
      <c r="D560" s="8">
        <v>2.87345827765014E-3</v>
      </c>
      <c r="E560" s="10">
        <v>1.2920626630363501</v>
      </c>
      <c r="F560" s="10">
        <v>3.80792288841311E-3</v>
      </c>
    </row>
    <row r="561" spans="1:6" x14ac:dyDescent="0.2">
      <c r="A561" s="8" t="s">
        <v>298</v>
      </c>
      <c r="B561" s="8" t="s">
        <v>299</v>
      </c>
      <c r="C561" s="8">
        <v>1.2139891911944001</v>
      </c>
      <c r="D561" s="8">
        <v>3.3407357567580502E-2</v>
      </c>
      <c r="E561" s="10">
        <v>-1.0972701759496499</v>
      </c>
      <c r="F561" s="13">
        <v>5.5221296657148498E-5</v>
      </c>
    </row>
    <row r="562" spans="1:6" x14ac:dyDescent="0.2">
      <c r="A562" s="8" t="s">
        <v>714</v>
      </c>
      <c r="B562" s="8" t="s">
        <v>715</v>
      </c>
      <c r="C562" s="8">
        <v>1.83573176119327</v>
      </c>
      <c r="D562" s="8">
        <v>5.0723373371591501E-4</v>
      </c>
      <c r="E562" s="10">
        <v>-1.1261447033888701</v>
      </c>
      <c r="F562" s="10">
        <v>1.2979550869410201E-3</v>
      </c>
    </row>
    <row r="563" spans="1:6" x14ac:dyDescent="0.2">
      <c r="A563" s="8" t="s">
        <v>1026</v>
      </c>
      <c r="B563" s="8" t="s">
        <v>1027</v>
      </c>
      <c r="C563" s="8">
        <v>-2.6627085176599001</v>
      </c>
      <c r="D563" s="8">
        <v>3.6711587421551499E-2</v>
      </c>
      <c r="E563" s="10">
        <v>-3.8379070714743699</v>
      </c>
      <c r="F563" s="10">
        <v>4.23931454561616E-4</v>
      </c>
    </row>
    <row r="564" spans="1:6" x14ac:dyDescent="0.2">
      <c r="A564" s="8" t="s">
        <v>850</v>
      </c>
      <c r="B564" s="8" t="s">
        <v>851</v>
      </c>
      <c r="C564" s="8">
        <v>1.0115022838379</v>
      </c>
      <c r="D564" s="8">
        <v>1.7086871054177499E-2</v>
      </c>
      <c r="E564" s="10">
        <v>-1.5906815041840501</v>
      </c>
      <c r="F564" s="13">
        <v>7.8036398972057696E-7</v>
      </c>
    </row>
    <row r="565" spans="1:6" x14ac:dyDescent="0.2">
      <c r="A565" s="8" t="s">
        <v>1202</v>
      </c>
      <c r="B565" s="8" t="s">
        <v>1203</v>
      </c>
      <c r="C565" s="8">
        <v>-1.5787577570032101</v>
      </c>
      <c r="D565" s="8">
        <v>1.1658044691489099E-3</v>
      </c>
      <c r="E565" s="10">
        <v>-1.5799556917997299</v>
      </c>
      <c r="F565" s="13">
        <v>2.3003799495740902E-5</v>
      </c>
    </row>
    <row r="566" spans="1:6" x14ac:dyDescent="0.2">
      <c r="A566" s="8" t="s">
        <v>1000</v>
      </c>
      <c r="B566" s="8" t="s">
        <v>1001</v>
      </c>
      <c r="C566" s="8">
        <v>-1.14324825897293</v>
      </c>
      <c r="D566" s="8">
        <v>4.3455640268861201E-2</v>
      </c>
      <c r="E566" s="10">
        <v>5.9432510531214904</v>
      </c>
      <c r="F566" s="13">
        <v>1.3878628654042899E-23</v>
      </c>
    </row>
    <row r="567" spans="1:6" x14ac:dyDescent="0.2">
      <c r="A567" s="8" t="s">
        <v>210</v>
      </c>
      <c r="B567" s="8" t="s">
        <v>211</v>
      </c>
      <c r="C567" s="8">
        <v>-1.38676055579303</v>
      </c>
      <c r="D567" s="8">
        <v>2.8481299717509401E-2</v>
      </c>
      <c r="E567" s="10">
        <v>2.7365844025260699</v>
      </c>
      <c r="F567" s="13">
        <v>1.1356303808001299E-9</v>
      </c>
    </row>
    <row r="568" spans="1:6" x14ac:dyDescent="0.2">
      <c r="A568" s="8" t="s">
        <v>876</v>
      </c>
      <c r="B568" s="8" t="s">
        <v>877</v>
      </c>
      <c r="C568" s="8">
        <v>2.3111473819728801</v>
      </c>
      <c r="D568" s="8">
        <v>1.77149806349036E-2</v>
      </c>
      <c r="E568" s="10">
        <v>-1.8377472211752699</v>
      </c>
      <c r="F568" s="10">
        <v>4.0575301663138498E-4</v>
      </c>
    </row>
    <row r="569" spans="1:6" x14ac:dyDescent="0.2">
      <c r="A569" s="8" t="s">
        <v>1212</v>
      </c>
      <c r="B569" s="8" t="s">
        <v>1213</v>
      </c>
      <c r="C569" s="8">
        <v>-2.60155773818735</v>
      </c>
      <c r="D569" s="8">
        <v>1.5286393349987999E-2</v>
      </c>
      <c r="E569" s="10">
        <v>7.7661313056627597</v>
      </c>
      <c r="F569" s="13">
        <v>2.0910838155010598E-6</v>
      </c>
    </row>
    <row r="570" spans="1:6" x14ac:dyDescent="0.2">
      <c r="A570" s="8" t="s">
        <v>780</v>
      </c>
      <c r="B570" s="8" t="s">
        <v>781</v>
      </c>
      <c r="C570" s="8">
        <v>1.4554117365860999</v>
      </c>
      <c r="D570" s="8">
        <v>3.3408589692155502E-3</v>
      </c>
      <c r="E570" s="10">
        <v>-3.3638790273869699</v>
      </c>
      <c r="F570" s="13">
        <v>2.2847361559751701E-29</v>
      </c>
    </row>
    <row r="571" spans="1:6" x14ac:dyDescent="0.2">
      <c r="A571" s="8" t="s">
        <v>732</v>
      </c>
      <c r="B571" s="8" t="s">
        <v>733</v>
      </c>
      <c r="C571" s="8">
        <v>1.4107693135674</v>
      </c>
      <c r="D571" s="8">
        <v>3.12506371560831E-3</v>
      </c>
      <c r="E571" s="10">
        <v>2.0000547089492802</v>
      </c>
      <c r="F571" s="13">
        <v>9.3912137796807403E-17</v>
      </c>
    </row>
    <row r="572" spans="1:6" x14ac:dyDescent="0.2">
      <c r="A572" s="8" t="s">
        <v>1048</v>
      </c>
      <c r="B572" s="8" t="s">
        <v>1049</v>
      </c>
      <c r="C572" s="8">
        <v>-1.2109421540832099</v>
      </c>
      <c r="D572" s="8">
        <v>2.9201984059829801E-2</v>
      </c>
      <c r="E572" s="10">
        <v>3.1071657950320799</v>
      </c>
      <c r="F572" s="13">
        <v>3.3947589280971202E-13</v>
      </c>
    </row>
    <row r="573" spans="1:6" x14ac:dyDescent="0.2">
      <c r="A573" s="8" t="s">
        <v>380</v>
      </c>
      <c r="B573" s="8" t="s">
        <v>381</v>
      </c>
      <c r="C573" s="8">
        <v>-1.0971001648220899</v>
      </c>
      <c r="D573" s="8">
        <v>1.10328184237955E-3</v>
      </c>
      <c r="E573" s="10">
        <v>1.78193764199514</v>
      </c>
      <c r="F573" s="13">
        <v>1.76391429054133E-9</v>
      </c>
    </row>
    <row r="574" spans="1:6" x14ac:dyDescent="0.2">
      <c r="A574" s="8" t="s">
        <v>370</v>
      </c>
      <c r="B574" s="8" t="s">
        <v>371</v>
      </c>
      <c r="C574" s="8">
        <v>5.9097684442551204</v>
      </c>
      <c r="D574" s="9">
        <v>1.3380576604615001E-6</v>
      </c>
      <c r="E574" s="10">
        <v>-2.8191252305417098</v>
      </c>
      <c r="F574" s="10">
        <v>1.46785223510976E-4</v>
      </c>
    </row>
    <row r="575" spans="1:6" x14ac:dyDescent="0.2">
      <c r="A575" s="8" t="s">
        <v>1008</v>
      </c>
      <c r="B575" s="8" t="s">
        <v>1009</v>
      </c>
      <c r="C575" s="8">
        <v>-1.49509848961984</v>
      </c>
      <c r="D575" s="8">
        <v>2.3779495316735798E-2</v>
      </c>
      <c r="E575" s="10">
        <v>4.2786387193286401</v>
      </c>
      <c r="F575" s="13">
        <v>1.4173859857200901E-9</v>
      </c>
    </row>
    <row r="576" spans="1:6" x14ac:dyDescent="0.2">
      <c r="A576" s="8" t="s">
        <v>1172</v>
      </c>
      <c r="B576" s="8" t="s">
        <v>1173</v>
      </c>
      <c r="C576" s="8">
        <v>2.3421390663363701</v>
      </c>
      <c r="D576" s="8">
        <v>1.3308951221111501E-3</v>
      </c>
      <c r="E576" s="10">
        <v>-3.4577051104998802</v>
      </c>
      <c r="F576" s="13">
        <v>9.8187851305470797E-37</v>
      </c>
    </row>
    <row r="577" spans="1:6" x14ac:dyDescent="0.2">
      <c r="A577" s="8" t="s">
        <v>882</v>
      </c>
      <c r="B577" s="8" t="s">
        <v>883</v>
      </c>
      <c r="C577" s="8">
        <v>1.50691631254338</v>
      </c>
      <c r="D577" s="9">
        <v>6.20288979928299E-5</v>
      </c>
      <c r="E577" s="10">
        <v>1.5578822130480401</v>
      </c>
      <c r="F577" s="13">
        <v>9.13318523902516E-7</v>
      </c>
    </row>
    <row r="578" spans="1:6" x14ac:dyDescent="0.2">
      <c r="A578" s="8" t="s">
        <v>326</v>
      </c>
      <c r="B578" s="8" t="s">
        <v>327</v>
      </c>
      <c r="C578" s="8">
        <v>-1.0738627066761099</v>
      </c>
      <c r="D578" s="8">
        <v>7.2546557058704995E-4</v>
      </c>
      <c r="E578" s="10">
        <v>-1.48333574808753</v>
      </c>
      <c r="F578" s="13">
        <v>4.5005176773219297E-9</v>
      </c>
    </row>
    <row r="579" spans="1:6" x14ac:dyDescent="0.2">
      <c r="A579" s="8" t="s">
        <v>212</v>
      </c>
      <c r="B579" s="8" t="s">
        <v>213</v>
      </c>
      <c r="C579" s="8">
        <v>-1.4782221275977201</v>
      </c>
      <c r="D579" s="8">
        <v>1.7236189344625601E-2</v>
      </c>
      <c r="E579" s="10">
        <v>4.1090112016074603</v>
      </c>
      <c r="F579" s="13">
        <v>5.45288944531739E-42</v>
      </c>
    </row>
    <row r="580" spans="1:6" x14ac:dyDescent="0.2">
      <c r="A580" s="8" t="s">
        <v>1268</v>
      </c>
      <c r="B580" s="8" t="s">
        <v>1269</v>
      </c>
      <c r="C580" s="8">
        <v>2.17398746427931</v>
      </c>
      <c r="D580" s="8">
        <v>1.07517201946303E-4</v>
      </c>
      <c r="E580" s="10">
        <v>-1.4515659305051101</v>
      </c>
      <c r="F580" s="13">
        <v>9.6232152560517302E-5</v>
      </c>
    </row>
    <row r="581" spans="1:6" x14ac:dyDescent="0.2">
      <c r="A581" s="8" t="s">
        <v>656</v>
      </c>
      <c r="B581" s="8" t="s">
        <v>657</v>
      </c>
      <c r="C581" s="8">
        <v>2.6434992263741801</v>
      </c>
      <c r="D581" s="8">
        <v>1.2043380424126601E-3</v>
      </c>
      <c r="E581" s="10">
        <v>-2.3412964236756699</v>
      </c>
      <c r="F581" s="10">
        <v>3.8951681529013999E-3</v>
      </c>
    </row>
    <row r="582" spans="1:6" x14ac:dyDescent="0.2">
      <c r="A582" s="8" t="s">
        <v>898</v>
      </c>
      <c r="B582" s="8" t="s">
        <v>899</v>
      </c>
      <c r="C582" s="8">
        <v>-1.1617070461444801</v>
      </c>
      <c r="D582" s="8">
        <v>1.94754134006325E-2</v>
      </c>
      <c r="E582" s="10">
        <v>2.6240131538529199</v>
      </c>
      <c r="F582" s="13">
        <v>5.0443083601113098E-12</v>
      </c>
    </row>
    <row r="583" spans="1:6" x14ac:dyDescent="0.2">
      <c r="A583" s="8" t="s">
        <v>622</v>
      </c>
      <c r="B583" s="8" t="s">
        <v>623</v>
      </c>
      <c r="C583" s="8">
        <v>-1.32191932661385</v>
      </c>
      <c r="D583" s="8">
        <v>8.5522513825898594E-3</v>
      </c>
      <c r="E583" s="10">
        <v>-1.2216256631661899</v>
      </c>
      <c r="F583" s="13">
        <v>4.81998509510971E-5</v>
      </c>
    </row>
    <row r="584" spans="1:6" x14ac:dyDescent="0.2">
      <c r="A584" s="8" t="s">
        <v>1200</v>
      </c>
      <c r="B584" s="8" t="s">
        <v>1201</v>
      </c>
      <c r="C584" s="8">
        <v>-1.15196917789616</v>
      </c>
      <c r="D584" s="8">
        <v>3.50978313057713E-2</v>
      </c>
      <c r="E584" s="10">
        <v>7.7948296113031201</v>
      </c>
      <c r="F584" s="13">
        <v>3.1634415852996999E-189</v>
      </c>
    </row>
    <row r="585" spans="1:6" x14ac:dyDescent="0.2">
      <c r="A585" s="8" t="s">
        <v>690</v>
      </c>
      <c r="B585" s="8" t="s">
        <v>691</v>
      </c>
      <c r="C585" s="8">
        <v>1.1731257125927601</v>
      </c>
      <c r="D585" s="8">
        <v>3.3215808675931602E-2</v>
      </c>
      <c r="E585" s="10">
        <v>-2.2368441785422299</v>
      </c>
      <c r="F585" s="13">
        <v>1.7813480261706E-16</v>
      </c>
    </row>
    <row r="586" spans="1:6" x14ac:dyDescent="0.2">
      <c r="A586" s="8" t="s">
        <v>928</v>
      </c>
      <c r="B586" s="8" t="s">
        <v>929</v>
      </c>
      <c r="C586" s="8">
        <v>-1.0933219459336601</v>
      </c>
      <c r="D586" s="8">
        <v>1.0631199576309E-2</v>
      </c>
      <c r="E586" s="10">
        <v>1.16557258745137</v>
      </c>
      <c r="F586" s="10">
        <v>7.1230951401387204E-3</v>
      </c>
    </row>
    <row r="587" spans="1:6" x14ac:dyDescent="0.2">
      <c r="A587" s="8" t="s">
        <v>1270</v>
      </c>
      <c r="B587" s="8" t="s">
        <v>1271</v>
      </c>
      <c r="C587" s="8">
        <v>1.3792836291489099</v>
      </c>
      <c r="D587" s="8">
        <v>1.1988286913670701E-2</v>
      </c>
      <c r="E587" s="10">
        <v>-1.56995593981118</v>
      </c>
      <c r="F587" s="10">
        <v>2.26082819864405E-4</v>
      </c>
    </row>
    <row r="588" spans="1:6" x14ac:dyDescent="0.2">
      <c r="A588" s="8" t="s">
        <v>984</v>
      </c>
      <c r="B588" s="8" t="s">
        <v>985</v>
      </c>
      <c r="C588" s="8">
        <v>2.2045505979827098</v>
      </c>
      <c r="D588" s="8">
        <v>5.4116649423943302E-3</v>
      </c>
      <c r="E588" s="10">
        <v>-1.70444645399104</v>
      </c>
      <c r="F588" s="13">
        <v>8.5604500487993506E-6</v>
      </c>
    </row>
    <row r="589" spans="1:6" x14ac:dyDescent="0.2">
      <c r="A589" s="8" t="s">
        <v>1254</v>
      </c>
      <c r="B589" s="8" t="s">
        <v>1255</v>
      </c>
      <c r="C589" s="8">
        <v>1.0022339109857099</v>
      </c>
      <c r="D589" s="8">
        <v>9.2382354376200802E-4</v>
      </c>
      <c r="E589" s="10">
        <v>-1.19073260275591</v>
      </c>
      <c r="F589" s="13">
        <v>1.84041798691241E-5</v>
      </c>
    </row>
    <row r="590" spans="1:6" x14ac:dyDescent="0.2">
      <c r="A590" s="8" t="s">
        <v>70</v>
      </c>
      <c r="B590" s="8" t="s">
        <v>71</v>
      </c>
      <c r="C590" s="8">
        <v>-1.5352177653129699</v>
      </c>
      <c r="D590" s="8">
        <v>3.1758576910857902E-4</v>
      </c>
      <c r="E590" s="10">
        <v>5.2626242563471104</v>
      </c>
      <c r="F590" s="13">
        <v>3.8378716560384E-28</v>
      </c>
    </row>
    <row r="591" spans="1:6" x14ac:dyDescent="0.2">
      <c r="A591" s="8" t="s">
        <v>554</v>
      </c>
      <c r="B591" s="8" t="s">
        <v>555</v>
      </c>
      <c r="C591" s="8">
        <v>1.27393908112386</v>
      </c>
      <c r="D591" s="8">
        <v>3.0728102358737901E-2</v>
      </c>
      <c r="E591" s="10">
        <v>-1.21016605750805</v>
      </c>
      <c r="F591" s="13">
        <v>6.5498277524164897E-6</v>
      </c>
    </row>
    <row r="592" spans="1:6" x14ac:dyDescent="0.2">
      <c r="A592" s="8" t="s">
        <v>808</v>
      </c>
      <c r="B592" s="8" t="s">
        <v>809</v>
      </c>
      <c r="C592" s="8">
        <v>1.15957119838211</v>
      </c>
      <c r="D592" s="8">
        <v>1.1793641042810001E-3</v>
      </c>
      <c r="E592" s="10">
        <v>2.64220452650483</v>
      </c>
      <c r="F592" s="13">
        <v>2.4141532689382399E-23</v>
      </c>
    </row>
    <row r="593" spans="1:6" x14ac:dyDescent="0.2">
      <c r="A593" s="8" t="s">
        <v>26</v>
      </c>
      <c r="B593" s="8" t="s">
        <v>27</v>
      </c>
      <c r="C593" s="8">
        <v>-1.5129600948289399</v>
      </c>
      <c r="D593" s="8">
        <v>9.7016880977471801E-3</v>
      </c>
      <c r="E593" s="10">
        <v>-1.2109129477151199</v>
      </c>
      <c r="F593" s="10">
        <v>9.2892588553163506E-3</v>
      </c>
    </row>
    <row r="594" spans="1:6" x14ac:dyDescent="0.2">
      <c r="A594" s="8" t="s">
        <v>812</v>
      </c>
      <c r="B594" s="8" t="s">
        <v>813</v>
      </c>
      <c r="C594" s="8">
        <v>1.0770625940585901</v>
      </c>
      <c r="D594" s="8">
        <v>8.5651025036041003E-4</v>
      </c>
      <c r="E594" s="10">
        <v>-1.0039752785491201</v>
      </c>
      <c r="F594" s="10">
        <v>5.7218209651201004E-4</v>
      </c>
    </row>
    <row r="595" spans="1:6" x14ac:dyDescent="0.2">
      <c r="A595" s="8" t="s">
        <v>1190</v>
      </c>
      <c r="B595" s="8" t="s">
        <v>1191</v>
      </c>
      <c r="C595" s="8">
        <v>1.2199192083457799</v>
      </c>
      <c r="D595" s="8">
        <v>2.28917311279285E-2</v>
      </c>
      <c r="E595" s="10">
        <v>-1.22862001316869</v>
      </c>
      <c r="F595" s="13">
        <v>8.9352592993542695E-6</v>
      </c>
    </row>
    <row r="596" spans="1:6" x14ac:dyDescent="0.2">
      <c r="A596" s="8" t="s">
        <v>886</v>
      </c>
      <c r="B596" s="8" t="s">
        <v>887</v>
      </c>
      <c r="C596" s="8">
        <v>-1.3634752202340099</v>
      </c>
      <c r="D596" s="8">
        <v>1.6138867906530601E-3</v>
      </c>
      <c r="E596" s="10">
        <v>-1.13322163042113</v>
      </c>
      <c r="F596" s="10">
        <v>2.3012587989483398E-3</v>
      </c>
    </row>
    <row r="597" spans="1:6" x14ac:dyDescent="0.2">
      <c r="A597" s="8" t="s">
        <v>1116</v>
      </c>
      <c r="B597" s="8" t="s">
        <v>1117</v>
      </c>
      <c r="C597" s="8">
        <v>-1.7215814371393401</v>
      </c>
      <c r="D597" s="8">
        <v>4.2249004169023399E-2</v>
      </c>
      <c r="E597" s="10">
        <v>5.2382453386149699</v>
      </c>
      <c r="F597" s="13">
        <v>2.3358958961384101E-31</v>
      </c>
    </row>
    <row r="598" spans="1:6" x14ac:dyDescent="0.2">
      <c r="A598" s="8" t="s">
        <v>604</v>
      </c>
      <c r="B598" s="8" t="s">
        <v>605</v>
      </c>
      <c r="C598" s="8">
        <v>1.08825613675151</v>
      </c>
      <c r="D598" s="8">
        <v>6.3894520403811705E-4</v>
      </c>
      <c r="E598" s="10">
        <v>-1.00817368805455</v>
      </c>
      <c r="F598" s="10">
        <v>1.12014552874798E-4</v>
      </c>
    </row>
    <row r="599" spans="1:6" x14ac:dyDescent="0.2">
      <c r="A599" s="8" t="s">
        <v>1022</v>
      </c>
      <c r="B599" s="8" t="s">
        <v>1023</v>
      </c>
      <c r="C599" s="8">
        <v>-1.16408971245554</v>
      </c>
      <c r="D599" s="8">
        <v>5.11694750664996E-3</v>
      </c>
      <c r="E599" s="10">
        <v>1.24606015763954</v>
      </c>
      <c r="F599" s="13">
        <v>1.6435416793835499E-5</v>
      </c>
    </row>
    <row r="600" spans="1:6" x14ac:dyDescent="0.2">
      <c r="A600" s="8" t="s">
        <v>704</v>
      </c>
      <c r="B600" s="8" t="s">
        <v>705</v>
      </c>
      <c r="C600" s="8">
        <v>-1.3310628662336299</v>
      </c>
      <c r="D600" s="8">
        <v>1.2120494664846101E-2</v>
      </c>
      <c r="E600" s="10">
        <v>-1.45953508407794</v>
      </c>
      <c r="F600" s="10">
        <v>6.4805724248709097E-3</v>
      </c>
    </row>
    <row r="601" spans="1:6" x14ac:dyDescent="0.2">
      <c r="A601" s="8" t="s">
        <v>228</v>
      </c>
      <c r="B601" s="8" t="s">
        <v>229</v>
      </c>
      <c r="C601" s="8">
        <v>-2.9467437474023801</v>
      </c>
      <c r="D601" s="8">
        <v>1.30999877768124E-4</v>
      </c>
      <c r="E601" s="10">
        <v>-2.19535895986755</v>
      </c>
      <c r="F601" s="10">
        <v>7.9057197266978307E-3</v>
      </c>
    </row>
    <row r="602" spans="1:6" x14ac:dyDescent="0.2">
      <c r="A602" s="8" t="s">
        <v>32</v>
      </c>
      <c r="B602" s="8" t="s">
        <v>33</v>
      </c>
      <c r="C602" s="8">
        <v>-1.6856392490095</v>
      </c>
      <c r="D602" s="8">
        <v>6.8961556301309998E-4</v>
      </c>
      <c r="E602" s="10">
        <v>-1.6657993372283399</v>
      </c>
      <c r="F602" s="13">
        <v>4.5913808310604403E-6</v>
      </c>
    </row>
    <row r="603" spans="1:6" x14ac:dyDescent="0.2">
      <c r="A603" s="8" t="s">
        <v>1124</v>
      </c>
      <c r="B603" s="8" t="s">
        <v>1125</v>
      </c>
      <c r="C603" s="8">
        <v>1.17996188612652</v>
      </c>
      <c r="D603" s="8">
        <v>1.7235838281582699E-3</v>
      </c>
      <c r="E603" s="10">
        <v>-1.1769071658208901</v>
      </c>
      <c r="F603" s="10">
        <v>1.5302371584148899E-4</v>
      </c>
    </row>
    <row r="604" spans="1:6" x14ac:dyDescent="0.2">
      <c r="A604" s="8" t="s">
        <v>1018</v>
      </c>
      <c r="B604" s="8" t="s">
        <v>1019</v>
      </c>
      <c r="C604" s="8">
        <v>1.21808734407778</v>
      </c>
      <c r="D604" s="8">
        <v>1.9965973009667098E-2</v>
      </c>
      <c r="E604" s="10">
        <v>-2.0339831864464002</v>
      </c>
      <c r="F604" s="10">
        <v>1.76185508741548E-4</v>
      </c>
    </row>
    <row r="605" spans="1:6" x14ac:dyDescent="0.2">
      <c r="A605" s="8" t="s">
        <v>1134</v>
      </c>
      <c r="B605" s="8" t="s">
        <v>1135</v>
      </c>
      <c r="C605" s="8">
        <v>-1.0184571928941799</v>
      </c>
      <c r="D605" s="8">
        <v>2.4865411310380701E-2</v>
      </c>
      <c r="E605" s="10">
        <v>-1.3096630236631801</v>
      </c>
      <c r="F605" s="13">
        <v>8.0769876205510205E-5</v>
      </c>
    </row>
    <row r="606" spans="1:6" x14ac:dyDescent="0.2">
      <c r="A606" s="8" t="s">
        <v>4</v>
      </c>
      <c r="B606" s="8" t="s">
        <v>5</v>
      </c>
      <c r="C606" s="8">
        <v>-1.4434426717636799</v>
      </c>
      <c r="D606" s="8">
        <v>1.1081528428015801E-3</v>
      </c>
      <c r="E606" s="10">
        <v>2.02558412790385</v>
      </c>
      <c r="F606" s="13">
        <v>1.8259333381628901E-9</v>
      </c>
    </row>
    <row r="607" spans="1:6" x14ac:dyDescent="0.2">
      <c r="A607" s="8" t="s">
        <v>878</v>
      </c>
      <c r="B607" s="8" t="s">
        <v>879</v>
      </c>
      <c r="C607" s="8">
        <v>1.4857366029672601</v>
      </c>
      <c r="D607" s="8">
        <v>1.7888498715963298E-2</v>
      </c>
      <c r="E607" s="10">
        <v>-1.1470437681905501</v>
      </c>
      <c r="F607" s="10">
        <v>2.02907897953848E-4</v>
      </c>
    </row>
    <row r="608" spans="1:6" x14ac:dyDescent="0.2">
      <c r="A608" s="8" t="s">
        <v>766</v>
      </c>
      <c r="B608" s="8" t="s">
        <v>767</v>
      </c>
      <c r="C608" s="8">
        <v>1.2969260974315999</v>
      </c>
      <c r="D608" s="8">
        <v>5.5762887000687603E-3</v>
      </c>
      <c r="E608" s="10">
        <v>-1.03513618986996</v>
      </c>
      <c r="F608" s="10">
        <v>4.0726822218385798E-3</v>
      </c>
    </row>
    <row r="609" spans="1:6" x14ac:dyDescent="0.2">
      <c r="A609" s="8" t="s">
        <v>458</v>
      </c>
      <c r="B609" s="8" t="s">
        <v>459</v>
      </c>
      <c r="C609" s="8">
        <v>1.3928603089740901</v>
      </c>
      <c r="D609" s="8">
        <v>3.9288341551977301E-4</v>
      </c>
      <c r="E609" s="10">
        <v>-2.2290167385397299</v>
      </c>
      <c r="F609" s="13">
        <v>7.6883834024627203E-15</v>
      </c>
    </row>
    <row r="610" spans="1:6" x14ac:dyDescent="0.2">
      <c r="A610" s="8" t="s">
        <v>1246</v>
      </c>
      <c r="B610" s="8" t="s">
        <v>1247</v>
      </c>
      <c r="C610" s="8">
        <v>-1.45389070247043</v>
      </c>
      <c r="D610" s="8">
        <v>2.1096845418621099E-2</v>
      </c>
      <c r="E610" s="10">
        <v>-1.66979344654635</v>
      </c>
      <c r="F610" s="13">
        <v>4.4258317191498899E-5</v>
      </c>
    </row>
    <row r="611" spans="1:6" x14ac:dyDescent="0.2">
      <c r="A611" s="8" t="s">
        <v>268</v>
      </c>
      <c r="B611" s="8" t="s">
        <v>269</v>
      </c>
      <c r="C611" s="8">
        <v>1.723835786779</v>
      </c>
      <c r="D611" s="8">
        <v>2.4448847587365298E-3</v>
      </c>
      <c r="E611" s="10">
        <v>1.44514951765495</v>
      </c>
      <c r="F611" s="10">
        <v>1.9105244020023099E-4</v>
      </c>
    </row>
    <row r="612" spans="1:6" x14ac:dyDescent="0.2">
      <c r="A612" s="8" t="s">
        <v>1034</v>
      </c>
      <c r="B612" s="8" t="s">
        <v>1035</v>
      </c>
      <c r="C612" s="8">
        <v>1.0946877492143601</v>
      </c>
      <c r="D612" s="8">
        <v>1.83087697600526E-2</v>
      </c>
      <c r="E612" s="10">
        <v>-1.15328382379818</v>
      </c>
      <c r="F612" s="13">
        <v>6.6859716453268103E-6</v>
      </c>
    </row>
    <row r="613" spans="1:6" x14ac:dyDescent="0.2">
      <c r="A613" s="8" t="s">
        <v>422</v>
      </c>
      <c r="B613" s="8" t="s">
        <v>423</v>
      </c>
      <c r="C613" s="8">
        <v>1.0371603867443899</v>
      </c>
      <c r="D613" s="8">
        <v>4.9519536338467002E-3</v>
      </c>
      <c r="E613" s="10">
        <v>-2.13074070372011</v>
      </c>
      <c r="F613" s="13">
        <v>1.4687436624419701E-12</v>
      </c>
    </row>
    <row r="614" spans="1:6" x14ac:dyDescent="0.2">
      <c r="A614" s="8" t="s">
        <v>424</v>
      </c>
      <c r="B614" s="8" t="s">
        <v>425</v>
      </c>
      <c r="C614" s="8">
        <v>1.4011698162881601</v>
      </c>
      <c r="D614" s="8">
        <v>2.0429686800377801E-4</v>
      </c>
      <c r="E614" s="10">
        <v>-1.50814857223285</v>
      </c>
      <c r="F614" s="13">
        <v>1.1872883893065501E-6</v>
      </c>
    </row>
    <row r="615" spans="1:6" x14ac:dyDescent="0.2">
      <c r="A615" s="8" t="s">
        <v>730</v>
      </c>
      <c r="B615" s="8" t="s">
        <v>731</v>
      </c>
      <c r="C615" s="8">
        <v>-1.6987291226926999</v>
      </c>
      <c r="D615" s="8">
        <v>2.0503647337048701E-2</v>
      </c>
      <c r="E615" s="10">
        <v>1.69707382942901</v>
      </c>
      <c r="F615" s="13">
        <v>6.1428524685646895E-5</v>
      </c>
    </row>
    <row r="616" spans="1:6" x14ac:dyDescent="0.2">
      <c r="A616" s="8" t="s">
        <v>420</v>
      </c>
      <c r="B616" s="8" t="s">
        <v>421</v>
      </c>
      <c r="C616" s="8">
        <v>2.1348477713705898</v>
      </c>
      <c r="D616" s="8">
        <v>4.5396384379563096E-3</v>
      </c>
      <c r="E616" s="10">
        <v>-2.41602760738947</v>
      </c>
      <c r="F616" s="10">
        <v>9.5340771149043599E-4</v>
      </c>
    </row>
    <row r="617" spans="1:6" x14ac:dyDescent="0.2">
      <c r="A617" s="8" t="s">
        <v>564</v>
      </c>
      <c r="B617" s="8" t="s">
        <v>565</v>
      </c>
      <c r="C617" s="8">
        <v>-2.6104362908862</v>
      </c>
      <c r="D617" s="8">
        <v>8.5613310255850999E-4</v>
      </c>
      <c r="E617" s="10">
        <v>3.2688275864823901</v>
      </c>
      <c r="F617" s="10">
        <v>1.1065930780133801E-4</v>
      </c>
    </row>
    <row r="618" spans="1:6" x14ac:dyDescent="0.2">
      <c r="A618" s="8" t="s">
        <v>24</v>
      </c>
      <c r="B618" s="8" t="s">
        <v>25</v>
      </c>
      <c r="C618" s="8">
        <v>-1.5195134072598799</v>
      </c>
      <c r="D618" s="8">
        <v>3.8353553479454697E-2</v>
      </c>
      <c r="E618" s="10">
        <v>5.6398796119623702</v>
      </c>
      <c r="F618" s="13">
        <v>4.3303680848650196E-6</v>
      </c>
    </row>
    <row r="619" spans="1:6" x14ac:dyDescent="0.2">
      <c r="A619" s="8" t="s">
        <v>114</v>
      </c>
      <c r="B619" s="8" t="s">
        <v>115</v>
      </c>
      <c r="C619" s="8">
        <v>1.31704949317312</v>
      </c>
      <c r="D619" s="8">
        <v>7.6029171648078903E-3</v>
      </c>
      <c r="E619" s="10">
        <v>-1.30723635765489</v>
      </c>
      <c r="F619" s="13">
        <v>1.91660240221617E-5</v>
      </c>
    </row>
    <row r="620" spans="1:6" x14ac:dyDescent="0.2">
      <c r="A620" s="8" t="s">
        <v>768</v>
      </c>
      <c r="B620" s="8" t="s">
        <v>769</v>
      </c>
      <c r="C620" s="8">
        <v>-1.7663587373188001</v>
      </c>
      <c r="D620" s="8">
        <v>1.2013999312342699E-2</v>
      </c>
      <c r="E620" s="10">
        <v>8.2670535769197393</v>
      </c>
      <c r="F620" s="13">
        <v>7.5108734679680402E-26</v>
      </c>
    </row>
    <row r="621" spans="1:6" x14ac:dyDescent="0.2">
      <c r="A621" s="8" t="s">
        <v>694</v>
      </c>
      <c r="B621" s="8" t="s">
        <v>695</v>
      </c>
      <c r="C621" s="8">
        <v>-2.19160451727705</v>
      </c>
      <c r="D621" s="8">
        <v>3.00297344557999E-2</v>
      </c>
      <c r="E621" s="10">
        <v>4.7143457701398503</v>
      </c>
      <c r="F621" s="13">
        <v>3.9918790227460798E-23</v>
      </c>
    </row>
    <row r="622" spans="1:6" x14ac:dyDescent="0.2">
      <c r="A622" s="8" t="s">
        <v>48</v>
      </c>
      <c r="B622" s="8" t="s">
        <v>49</v>
      </c>
      <c r="C622" s="8">
        <v>2.0736805445048998</v>
      </c>
      <c r="D622" s="8">
        <v>1.86847905990413E-4</v>
      </c>
      <c r="E622" s="10">
        <v>-1.3156204320898</v>
      </c>
      <c r="F622" s="10">
        <v>6.6112409805740402E-4</v>
      </c>
    </row>
    <row r="623" spans="1:6" x14ac:dyDescent="0.2">
      <c r="A623" s="8" t="s">
        <v>54</v>
      </c>
      <c r="B623" s="8" t="s">
        <v>55</v>
      </c>
      <c r="C623" s="8">
        <v>1.3700146682885801</v>
      </c>
      <c r="D623" s="8">
        <v>4.4869357104368499E-2</v>
      </c>
      <c r="E623" s="10">
        <v>-1.8456729717754199</v>
      </c>
      <c r="F623" s="10">
        <v>3.1608704095533201E-4</v>
      </c>
    </row>
    <row r="624" spans="1:6" x14ac:dyDescent="0.2">
      <c r="A624" s="8" t="s">
        <v>558</v>
      </c>
      <c r="B624" s="8" t="s">
        <v>559</v>
      </c>
      <c r="C624" s="8">
        <v>1.39115389331254</v>
      </c>
      <c r="D624" s="8">
        <v>4.50417727459765E-3</v>
      </c>
      <c r="E624" s="10">
        <v>-1.46157552675372</v>
      </c>
      <c r="F624" s="10">
        <v>1.6859801678279899E-3</v>
      </c>
    </row>
    <row r="625" spans="1:6" x14ac:dyDescent="0.2">
      <c r="A625" s="8" t="s">
        <v>1088</v>
      </c>
      <c r="B625" s="8" t="s">
        <v>1089</v>
      </c>
      <c r="C625" s="8">
        <v>3.2910985009634302</v>
      </c>
      <c r="D625" s="9">
        <v>8.3869965214812705E-5</v>
      </c>
      <c r="E625" s="10">
        <v>-1.9914239474595701</v>
      </c>
      <c r="F625" s="13">
        <v>2.1707921253592901E-13</v>
      </c>
    </row>
    <row r="626" spans="1:6" x14ac:dyDescent="0.2">
      <c r="A626" s="8" t="s">
        <v>196</v>
      </c>
      <c r="B626" s="8" t="s">
        <v>197</v>
      </c>
      <c r="C626" s="8">
        <v>1.49175500438622</v>
      </c>
      <c r="D626" s="8">
        <v>1.22540137748474E-3</v>
      </c>
      <c r="E626" s="10">
        <v>-2.1888265560596198</v>
      </c>
      <c r="F626" s="13">
        <v>1.34945132387207E-12</v>
      </c>
    </row>
    <row r="627" spans="1:6" x14ac:dyDescent="0.2">
      <c r="A627" s="8" t="s">
        <v>410</v>
      </c>
      <c r="B627" s="8" t="s">
        <v>411</v>
      </c>
      <c r="C627" s="8">
        <v>1.1556766851364699</v>
      </c>
      <c r="D627" s="8">
        <v>5.2196520288014803E-3</v>
      </c>
      <c r="E627" s="10">
        <v>-1.27612794561266</v>
      </c>
      <c r="F627" s="10">
        <v>8.5998663412045404E-4</v>
      </c>
    </row>
    <row r="628" spans="1:6" x14ac:dyDescent="0.2">
      <c r="A628" s="8" t="s">
        <v>282</v>
      </c>
      <c r="B628" s="8" t="s">
        <v>283</v>
      </c>
      <c r="C628" s="8">
        <v>-2.0801395993722802</v>
      </c>
      <c r="D628" s="8">
        <v>2.89493543946359E-2</v>
      </c>
      <c r="E628" s="10">
        <v>-3.8832669995631299</v>
      </c>
      <c r="F628" s="13">
        <v>8.2313627433346604E-14</v>
      </c>
    </row>
    <row r="629" spans="1:6" x14ac:dyDescent="0.2">
      <c r="A629" s="8" t="s">
        <v>130</v>
      </c>
      <c r="B629" s="8" t="s">
        <v>131</v>
      </c>
      <c r="C629" s="8">
        <v>1.2085958174862701</v>
      </c>
      <c r="D629" s="8">
        <v>7.0779470266718204E-3</v>
      </c>
      <c r="E629" s="10">
        <v>-1.22623607815797</v>
      </c>
      <c r="F629" s="10">
        <v>2.51140426484369E-3</v>
      </c>
    </row>
    <row r="630" spans="1:6" x14ac:dyDescent="0.2">
      <c r="A630" s="8" t="s">
        <v>518</v>
      </c>
      <c r="B630" s="8" t="s">
        <v>519</v>
      </c>
      <c r="C630" s="8">
        <v>-1.22554625282588</v>
      </c>
      <c r="D630" s="8">
        <v>6.4811201312547596E-3</v>
      </c>
      <c r="E630" s="10">
        <v>-1.7781738396854301</v>
      </c>
      <c r="F630" s="10">
        <v>3.4997990296052701E-3</v>
      </c>
    </row>
    <row r="631" spans="1:6" x14ac:dyDescent="0.2">
      <c r="A631" s="8" t="s">
        <v>502</v>
      </c>
      <c r="B631" s="8" t="s">
        <v>503</v>
      </c>
      <c r="C631" s="8">
        <v>-1.07402531549961</v>
      </c>
      <c r="D631" s="8">
        <v>1.550669629283E-2</v>
      </c>
      <c r="E631" s="10">
        <v>1.92866245207468</v>
      </c>
      <c r="F631" s="13">
        <v>3.2954501915306999E-6</v>
      </c>
    </row>
    <row r="632" spans="1:6" x14ac:dyDescent="0.2">
      <c r="A632" s="8" t="s">
        <v>736</v>
      </c>
      <c r="B632" s="8" t="s">
        <v>737</v>
      </c>
      <c r="C632" s="8">
        <v>2.0434416359486001</v>
      </c>
      <c r="D632" s="8">
        <v>1.96087534853769E-3</v>
      </c>
      <c r="E632" s="10">
        <v>-2.13763375045697</v>
      </c>
      <c r="F632" s="10">
        <v>2.3184976552201799E-4</v>
      </c>
    </row>
    <row r="633" spans="1:6" x14ac:dyDescent="0.2">
      <c r="A633" s="8" t="s">
        <v>908</v>
      </c>
      <c r="B633" s="8" t="s">
        <v>909</v>
      </c>
      <c r="C633" s="8">
        <v>-1.47054028656522</v>
      </c>
      <c r="D633" s="8">
        <v>4.43488272294386E-2</v>
      </c>
      <c r="E633" s="10">
        <v>1.8561195521943501</v>
      </c>
      <c r="F633" s="13">
        <v>4.0262330353455801E-5</v>
      </c>
    </row>
    <row r="634" spans="1:6" x14ac:dyDescent="0.2">
      <c r="A634" s="8" t="s">
        <v>618</v>
      </c>
      <c r="B634" s="8" t="s">
        <v>619</v>
      </c>
      <c r="C634" s="8">
        <v>-1.1864607129156799</v>
      </c>
      <c r="D634" s="8">
        <v>1.7142003171012301E-2</v>
      </c>
      <c r="E634" s="10">
        <v>3.5520704552753499</v>
      </c>
      <c r="F634" s="13">
        <v>9.9949943971860301E-28</v>
      </c>
    </row>
    <row r="635" spans="1:6" x14ac:dyDescent="0.2">
      <c r="A635" s="8" t="s">
        <v>1042</v>
      </c>
      <c r="B635" s="8" t="s">
        <v>1043</v>
      </c>
      <c r="C635" s="8">
        <v>1.8044597832459599</v>
      </c>
      <c r="D635" s="9">
        <v>1.9314823372720998E-5</v>
      </c>
      <c r="E635" s="10">
        <v>-2.2355229103040002</v>
      </c>
      <c r="F635" s="13">
        <v>7.9196752105880006E-15</v>
      </c>
    </row>
    <row r="636" spans="1:6" x14ac:dyDescent="0.2">
      <c r="A636" s="8" t="s">
        <v>1046</v>
      </c>
      <c r="B636" s="8" t="s">
        <v>1047</v>
      </c>
      <c r="C636" s="8">
        <v>-1.30246853732924</v>
      </c>
      <c r="D636" s="8">
        <v>5.5328833596072699E-4</v>
      </c>
      <c r="E636" s="10">
        <v>-1.05856405357345</v>
      </c>
      <c r="F636" s="13">
        <v>9.42473564798368E-5</v>
      </c>
    </row>
    <row r="637" spans="1:6" x14ac:dyDescent="0.2">
      <c r="A637" s="8" t="s">
        <v>134</v>
      </c>
      <c r="B637" s="8" t="s">
        <v>135</v>
      </c>
      <c r="C637" s="8">
        <v>-1.8540546209208599</v>
      </c>
      <c r="D637" s="8">
        <v>3.5406221154605698E-2</v>
      </c>
      <c r="E637" s="10">
        <v>4.5818501614207197</v>
      </c>
      <c r="F637" s="13">
        <v>2.1339903907195399E-20</v>
      </c>
    </row>
    <row r="638" spans="1:6" x14ac:dyDescent="0.2">
      <c r="A638" s="8" t="s">
        <v>1068</v>
      </c>
      <c r="B638" s="8" t="s">
        <v>1069</v>
      </c>
      <c r="C638" s="8">
        <v>-1.26605048200758</v>
      </c>
      <c r="D638" s="8">
        <v>1.50136702303773E-2</v>
      </c>
      <c r="E638" s="10">
        <v>2.2506378830678</v>
      </c>
      <c r="F638" s="10">
        <v>2.6890360761068302E-3</v>
      </c>
    </row>
    <row r="639" spans="1:6" x14ac:dyDescent="0.2">
      <c r="A639" s="8" t="s">
        <v>462</v>
      </c>
      <c r="B639" s="8" t="s">
        <v>463</v>
      </c>
      <c r="C639" s="8">
        <v>1.08385916446223</v>
      </c>
      <c r="D639" s="8">
        <v>1.7899318204545302E-2</v>
      </c>
      <c r="E639" s="10">
        <v>-1.7426068331243001</v>
      </c>
      <c r="F639" s="13">
        <v>5.2078027779665797E-7</v>
      </c>
    </row>
    <row r="640" spans="1:6" x14ac:dyDescent="0.2">
      <c r="A640" s="8" t="s">
        <v>858</v>
      </c>
      <c r="B640" s="8" t="s">
        <v>859</v>
      </c>
      <c r="C640" s="8">
        <v>-1.69078354631668</v>
      </c>
      <c r="D640" s="8">
        <v>3.3891513191721401E-2</v>
      </c>
      <c r="E640" s="10">
        <v>2.3919635419777499</v>
      </c>
      <c r="F640" s="10">
        <v>1.3591586299989101E-3</v>
      </c>
    </row>
    <row r="641" spans="1:6" x14ac:dyDescent="0.2">
      <c r="A641" s="8" t="s">
        <v>222</v>
      </c>
      <c r="B641" s="8" t="s">
        <v>223</v>
      </c>
      <c r="C641" s="8">
        <v>-1.4891764012277</v>
      </c>
      <c r="D641" s="8">
        <v>2.92921266959787E-2</v>
      </c>
      <c r="E641" s="10">
        <v>3.3050022363995599</v>
      </c>
      <c r="F641" s="13">
        <v>5.01356507004699E-5</v>
      </c>
    </row>
    <row r="642" spans="1:6" x14ac:dyDescent="0.2">
      <c r="A642" s="8" t="s">
        <v>958</v>
      </c>
      <c r="B642" s="8" t="s">
        <v>959</v>
      </c>
      <c r="C642" s="8">
        <v>-1.21276388430792</v>
      </c>
      <c r="D642" s="8">
        <v>1.66512688924648E-2</v>
      </c>
      <c r="E642" s="10">
        <v>5.0868352703030704</v>
      </c>
      <c r="F642" s="13">
        <v>2.3646075815474199E-42</v>
      </c>
    </row>
    <row r="643" spans="1:6" x14ac:dyDescent="0.2">
      <c r="A643" s="8" t="s">
        <v>530</v>
      </c>
      <c r="B643" s="8" t="s">
        <v>531</v>
      </c>
      <c r="C643" s="8">
        <v>-1.2483337234593199</v>
      </c>
      <c r="D643" s="8">
        <v>3.1233813788211899E-3</v>
      </c>
      <c r="E643" s="10">
        <v>1.9551801858037099</v>
      </c>
      <c r="F643" s="13">
        <v>1.6135633662792001E-7</v>
      </c>
    </row>
    <row r="644" spans="1:6" x14ac:dyDescent="0.2">
      <c r="A644" s="8" t="s">
        <v>532</v>
      </c>
      <c r="B644" s="8" t="s">
        <v>533</v>
      </c>
      <c r="C644" s="8">
        <v>-1.7696073908918599</v>
      </c>
      <c r="D644" s="8">
        <v>2.4511725936771499E-2</v>
      </c>
      <c r="E644" s="10">
        <v>3.6633846771903902</v>
      </c>
      <c r="F644" s="10">
        <v>1.0846213708313401E-3</v>
      </c>
    </row>
  </sheetData>
  <phoneticPr fontId="2" type="noConversion"/>
  <conditionalFormatting sqref="A1:A644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2"/>
  <sheetViews>
    <sheetView workbookViewId="0">
      <selection activeCell="B1" sqref="B1"/>
    </sheetView>
  </sheetViews>
  <sheetFormatPr defaultRowHeight="14.25" x14ac:dyDescent="0.2"/>
  <cols>
    <col min="1" max="1" width="26.875" style="12" bestFit="1" customWidth="1"/>
    <col min="2" max="2" width="17.375" style="12" bestFit="1" customWidth="1"/>
    <col min="3" max="3" width="55.5" style="12" bestFit="1" customWidth="1"/>
    <col min="4" max="4" width="46.625" style="12" bestFit="1" customWidth="1"/>
    <col min="5" max="16384" width="9" style="12"/>
  </cols>
  <sheetData>
    <row r="1" spans="1:4" ht="15" x14ac:dyDescent="0.2">
      <c r="A1" s="7" t="s">
        <v>0</v>
      </c>
      <c r="B1" s="7" t="s">
        <v>1</v>
      </c>
      <c r="C1" s="7" t="s">
        <v>1288</v>
      </c>
      <c r="D1" s="7" t="s">
        <v>1289</v>
      </c>
    </row>
    <row r="2" spans="1:4" x14ac:dyDescent="0.2">
      <c r="A2" s="8" t="s">
        <v>1290</v>
      </c>
      <c r="B2" s="8" t="s">
        <v>1291</v>
      </c>
      <c r="C2" s="8">
        <v>1.4418072467774701</v>
      </c>
      <c r="D2" s="8">
        <v>4.0469578364055299E-2</v>
      </c>
    </row>
    <row r="3" spans="1:4" x14ac:dyDescent="0.2">
      <c r="A3" s="8" t="s">
        <v>1292</v>
      </c>
      <c r="B3" s="8" t="s">
        <v>1293</v>
      </c>
      <c r="C3" s="8">
        <v>-1.4401701551702799</v>
      </c>
      <c r="D3" s="8">
        <v>3.4927997308257297E-2</v>
      </c>
    </row>
    <row r="4" spans="1:4" x14ac:dyDescent="0.2">
      <c r="A4" s="8" t="s">
        <v>1294</v>
      </c>
      <c r="B4" s="8" t="s">
        <v>1295</v>
      </c>
      <c r="C4" s="8">
        <v>1.05355513110917</v>
      </c>
      <c r="D4" s="8">
        <v>2.6331532450219599E-2</v>
      </c>
    </row>
    <row r="5" spans="1:4" x14ac:dyDescent="0.2">
      <c r="A5" s="8" t="s">
        <v>1296</v>
      </c>
      <c r="B5" s="8" t="s">
        <v>1297</v>
      </c>
      <c r="C5" s="8">
        <v>-1.1953568940425101</v>
      </c>
      <c r="D5" s="8">
        <v>1.44248542053163E-2</v>
      </c>
    </row>
    <row r="6" spans="1:4" x14ac:dyDescent="0.2">
      <c r="A6" s="8" t="s">
        <v>1298</v>
      </c>
      <c r="B6" s="8" t="s">
        <v>1299</v>
      </c>
      <c r="C6" s="8">
        <v>-1.1947191042387999</v>
      </c>
      <c r="D6" s="8">
        <v>1.8225984263468002E-2</v>
      </c>
    </row>
    <row r="7" spans="1:4" x14ac:dyDescent="0.2">
      <c r="A7" s="8" t="s">
        <v>1300</v>
      </c>
      <c r="B7" s="8" t="s">
        <v>1301</v>
      </c>
      <c r="C7" s="8">
        <v>-2.27367246831313</v>
      </c>
      <c r="D7" s="8">
        <v>8.5244602040107503E-3</v>
      </c>
    </row>
    <row r="8" spans="1:4" x14ac:dyDescent="0.2">
      <c r="A8" s="8" t="s">
        <v>1302</v>
      </c>
      <c r="B8" s="8" t="s">
        <v>1303</v>
      </c>
      <c r="C8" s="8">
        <v>-3.2693887447618799</v>
      </c>
      <c r="D8" s="8">
        <v>3.0333737374506499E-4</v>
      </c>
    </row>
    <row r="9" spans="1:4" x14ac:dyDescent="0.2">
      <c r="A9" s="8" t="s">
        <v>1304</v>
      </c>
      <c r="B9" s="8" t="s">
        <v>1305</v>
      </c>
      <c r="C9" s="8">
        <v>1.3682402581791699</v>
      </c>
      <c r="D9" s="8">
        <v>1.84361355827093E-2</v>
      </c>
    </row>
    <row r="10" spans="1:4" x14ac:dyDescent="0.2">
      <c r="A10" s="8" t="s">
        <v>1306</v>
      </c>
      <c r="B10" s="8" t="s">
        <v>1307</v>
      </c>
      <c r="C10" s="8">
        <v>-1.61697797232889</v>
      </c>
      <c r="D10" s="8">
        <v>3.4748320710576902E-2</v>
      </c>
    </row>
    <row r="11" spans="1:4" x14ac:dyDescent="0.2">
      <c r="A11" s="8" t="s">
        <v>1308</v>
      </c>
      <c r="B11" s="8" t="s">
        <v>1309</v>
      </c>
      <c r="C11" s="8">
        <v>-1.8511619159783099</v>
      </c>
      <c r="D11" s="8">
        <v>2.3790561391780301E-2</v>
      </c>
    </row>
    <row r="12" spans="1:4" x14ac:dyDescent="0.2">
      <c r="A12" s="8" t="s">
        <v>1310</v>
      </c>
      <c r="B12" s="8" t="s">
        <v>1311</v>
      </c>
      <c r="C12" s="8">
        <v>-3.4627958107732901</v>
      </c>
      <c r="D12" s="8">
        <v>1.7636775602971201E-2</v>
      </c>
    </row>
    <row r="13" spans="1:4" x14ac:dyDescent="0.2">
      <c r="A13" s="8" t="s">
        <v>1312</v>
      </c>
      <c r="B13" s="8" t="s">
        <v>1313</v>
      </c>
      <c r="C13" s="8">
        <v>-1.36779195211469</v>
      </c>
      <c r="D13" s="8">
        <v>3.5959213909657799E-3</v>
      </c>
    </row>
    <row r="14" spans="1:4" x14ac:dyDescent="0.2">
      <c r="A14" s="8" t="s">
        <v>1314</v>
      </c>
      <c r="B14" s="8" t="s">
        <v>1315</v>
      </c>
      <c r="C14" s="8">
        <v>-2.1807581953341102</v>
      </c>
      <c r="D14" s="8">
        <v>2.41889272893866E-3</v>
      </c>
    </row>
    <row r="15" spans="1:4" x14ac:dyDescent="0.2">
      <c r="A15" s="8" t="s">
        <v>1316</v>
      </c>
      <c r="B15" s="8" t="s">
        <v>1317</v>
      </c>
      <c r="C15" s="8">
        <v>1.32300065383627</v>
      </c>
      <c r="D15" s="8">
        <v>9.6076640232131399E-3</v>
      </c>
    </row>
    <row r="16" spans="1:4" x14ac:dyDescent="0.2">
      <c r="A16" s="8" t="s">
        <v>1318</v>
      </c>
      <c r="B16" s="8" t="s">
        <v>1319</v>
      </c>
      <c r="C16" s="8">
        <v>-1.14634004511679</v>
      </c>
      <c r="D16" s="8">
        <v>3.7584564167610301E-2</v>
      </c>
    </row>
    <row r="17" spans="1:4" x14ac:dyDescent="0.2">
      <c r="A17" s="8" t="s">
        <v>1320</v>
      </c>
      <c r="B17" s="8" t="s">
        <v>1321</v>
      </c>
      <c r="C17" s="8">
        <v>-1.20040159057762</v>
      </c>
      <c r="D17" s="8">
        <v>8.4667955477866798E-3</v>
      </c>
    </row>
    <row r="18" spans="1:4" x14ac:dyDescent="0.2">
      <c r="A18" s="8" t="s">
        <v>1322</v>
      </c>
      <c r="B18" s="8" t="s">
        <v>1323</v>
      </c>
      <c r="C18" s="8">
        <v>-2.1077191990932702</v>
      </c>
      <c r="D18" s="8">
        <v>3.4510608854456497E-2</v>
      </c>
    </row>
    <row r="19" spans="1:4" x14ac:dyDescent="0.2">
      <c r="A19" s="8" t="s">
        <v>1324</v>
      </c>
      <c r="B19" s="8" t="s">
        <v>1325</v>
      </c>
      <c r="C19" s="8">
        <v>-1.2475593995730601</v>
      </c>
      <c r="D19" s="8">
        <v>4.24000744825416E-2</v>
      </c>
    </row>
    <row r="20" spans="1:4" x14ac:dyDescent="0.2">
      <c r="A20" s="8" t="s">
        <v>1326</v>
      </c>
      <c r="B20" s="8" t="s">
        <v>1327</v>
      </c>
      <c r="C20" s="8">
        <v>-1.2782679492130999</v>
      </c>
      <c r="D20" s="8">
        <v>1.67117320658039E-2</v>
      </c>
    </row>
    <row r="21" spans="1:4" x14ac:dyDescent="0.2">
      <c r="A21" s="8" t="s">
        <v>1328</v>
      </c>
      <c r="B21" s="8" t="s">
        <v>1329</v>
      </c>
      <c r="C21" s="8">
        <v>-1.80104574230068</v>
      </c>
      <c r="D21" s="8">
        <v>4.7548119509792201E-2</v>
      </c>
    </row>
    <row r="22" spans="1:4" x14ac:dyDescent="0.2">
      <c r="A22" s="8" t="s">
        <v>1330</v>
      </c>
      <c r="B22" s="8" t="s">
        <v>1331</v>
      </c>
      <c r="C22" s="8">
        <v>-1.9513521620049199</v>
      </c>
      <c r="D22" s="8">
        <v>8.5251227938168608E-3</v>
      </c>
    </row>
    <row r="23" spans="1:4" x14ac:dyDescent="0.2">
      <c r="A23" s="8" t="s">
        <v>1332</v>
      </c>
      <c r="B23" s="8" t="s">
        <v>1333</v>
      </c>
      <c r="C23" s="8">
        <v>-1.5708545903526001</v>
      </c>
      <c r="D23" s="8">
        <v>2.24641562416465E-3</v>
      </c>
    </row>
    <row r="24" spans="1:4" x14ac:dyDescent="0.2">
      <c r="A24" s="8" t="s">
        <v>1334</v>
      </c>
      <c r="B24" s="8" t="s">
        <v>1335</v>
      </c>
      <c r="C24" s="8">
        <v>-1.68871060257475</v>
      </c>
      <c r="D24" s="8">
        <v>3.08825754787274E-2</v>
      </c>
    </row>
    <row r="25" spans="1:4" x14ac:dyDescent="0.2">
      <c r="A25" s="8" t="s">
        <v>1336</v>
      </c>
      <c r="B25" s="8" t="s">
        <v>1337</v>
      </c>
      <c r="C25" s="8">
        <v>2.0254606335493199</v>
      </c>
      <c r="D25" s="8">
        <v>4.7718568304348202E-2</v>
      </c>
    </row>
    <row r="26" spans="1:4" x14ac:dyDescent="0.2">
      <c r="A26" s="8" t="s">
        <v>1338</v>
      </c>
      <c r="B26" s="8" t="s">
        <v>1339</v>
      </c>
      <c r="C26" s="8">
        <v>-3.8727460495782999</v>
      </c>
      <c r="D26" s="8">
        <v>2.51734302788915E-2</v>
      </c>
    </row>
    <row r="27" spans="1:4" x14ac:dyDescent="0.2">
      <c r="A27" s="8" t="s">
        <v>1340</v>
      </c>
      <c r="B27" s="8" t="s">
        <v>1341</v>
      </c>
      <c r="C27" s="8">
        <v>1.0638057608784901</v>
      </c>
      <c r="D27" s="8">
        <v>2.84905743527038E-3</v>
      </c>
    </row>
    <row r="28" spans="1:4" x14ac:dyDescent="0.2">
      <c r="A28" s="8" t="s">
        <v>1342</v>
      </c>
      <c r="B28" s="8" t="s">
        <v>1343</v>
      </c>
      <c r="C28" s="8">
        <v>-1.3074516870559501</v>
      </c>
      <c r="D28" s="8">
        <v>2.0880642463226299E-2</v>
      </c>
    </row>
    <row r="29" spans="1:4" x14ac:dyDescent="0.2">
      <c r="A29" s="8" t="s">
        <v>1344</v>
      </c>
      <c r="B29" s="8" t="s">
        <v>1345</v>
      </c>
      <c r="C29" s="8">
        <v>2.2288919451061</v>
      </c>
      <c r="D29" s="8">
        <v>2.7265305069877301E-4</v>
      </c>
    </row>
    <row r="30" spans="1:4" x14ac:dyDescent="0.2">
      <c r="A30" s="8" t="s">
        <v>1346</v>
      </c>
      <c r="B30" s="8" t="s">
        <v>1347</v>
      </c>
      <c r="C30" s="8">
        <v>-1.7170286649426301</v>
      </c>
      <c r="D30" s="8">
        <v>1.89588308769757E-2</v>
      </c>
    </row>
    <row r="31" spans="1:4" x14ac:dyDescent="0.2">
      <c r="A31" s="8" t="s">
        <v>1348</v>
      </c>
      <c r="B31" s="8" t="s">
        <v>1349</v>
      </c>
      <c r="C31" s="8">
        <v>-1.9574019150934201</v>
      </c>
      <c r="D31" s="8">
        <v>5.38218117004858E-3</v>
      </c>
    </row>
    <row r="32" spans="1:4" x14ac:dyDescent="0.2">
      <c r="A32" s="8" t="s">
        <v>1350</v>
      </c>
      <c r="B32" s="8" t="s">
        <v>1351</v>
      </c>
      <c r="C32" s="8">
        <v>-2.4670708320213701</v>
      </c>
      <c r="D32" s="9">
        <v>6.3631966000255794E-5</v>
      </c>
    </row>
    <row r="33" spans="1:4" x14ac:dyDescent="0.2">
      <c r="A33" s="8" t="s">
        <v>1352</v>
      </c>
      <c r="B33" s="8" t="s">
        <v>1353</v>
      </c>
      <c r="C33" s="8">
        <v>-2.4464710944881198</v>
      </c>
      <c r="D33" s="8">
        <v>3.9512639451654098E-2</v>
      </c>
    </row>
    <row r="34" spans="1:4" x14ac:dyDescent="0.2">
      <c r="A34" s="8" t="s">
        <v>1354</v>
      </c>
      <c r="B34" s="8" t="s">
        <v>1355</v>
      </c>
      <c r="C34" s="8">
        <v>-1.25891119758147</v>
      </c>
      <c r="D34" s="8">
        <v>1.40458646658624E-2</v>
      </c>
    </row>
    <row r="35" spans="1:4" x14ac:dyDescent="0.2">
      <c r="A35" s="8" t="s">
        <v>1356</v>
      </c>
      <c r="B35" s="8" t="s">
        <v>1357</v>
      </c>
      <c r="C35" s="8">
        <v>-1.0642980732719101</v>
      </c>
      <c r="D35" s="8">
        <v>2.7995788785200198E-3</v>
      </c>
    </row>
    <row r="36" spans="1:4" x14ac:dyDescent="0.2">
      <c r="A36" s="8" t="s">
        <v>1358</v>
      </c>
      <c r="B36" s="8" t="s">
        <v>1359</v>
      </c>
      <c r="C36" s="8">
        <v>-2.7044466534346698</v>
      </c>
      <c r="D36" s="8">
        <v>4.8953343562050299E-2</v>
      </c>
    </row>
    <row r="37" spans="1:4" x14ac:dyDescent="0.2">
      <c r="A37" s="8" t="s">
        <v>1360</v>
      </c>
      <c r="B37" s="8" t="s">
        <v>1361</v>
      </c>
      <c r="C37" s="8">
        <v>-1.1724762098344199</v>
      </c>
      <c r="D37" s="8">
        <v>1.47548543667365E-2</v>
      </c>
    </row>
    <row r="38" spans="1:4" x14ac:dyDescent="0.2">
      <c r="A38" s="8" t="s">
        <v>1362</v>
      </c>
      <c r="B38" s="8" t="s">
        <v>1363</v>
      </c>
      <c r="C38" s="8">
        <v>-4.8762734761598896</v>
      </c>
      <c r="D38" s="8">
        <v>3.1388758953855601E-2</v>
      </c>
    </row>
    <row r="39" spans="1:4" x14ac:dyDescent="0.2">
      <c r="A39" s="8" t="s">
        <v>1364</v>
      </c>
      <c r="B39" s="8" t="s">
        <v>1365</v>
      </c>
      <c r="C39" s="8">
        <v>1.2235964087796101</v>
      </c>
      <c r="D39" s="8">
        <v>2.1539355287623998E-3</v>
      </c>
    </row>
    <row r="40" spans="1:4" x14ac:dyDescent="0.2">
      <c r="A40" s="8" t="s">
        <v>1366</v>
      </c>
      <c r="B40" s="8" t="s">
        <v>1367</v>
      </c>
      <c r="C40" s="8">
        <v>1.3762339341926699</v>
      </c>
      <c r="D40" s="8">
        <v>5.7969413923108504E-3</v>
      </c>
    </row>
    <row r="41" spans="1:4" x14ac:dyDescent="0.2">
      <c r="A41" s="8" t="s">
        <v>1368</v>
      </c>
      <c r="B41" s="8" t="s">
        <v>1369</v>
      </c>
      <c r="C41" s="8">
        <v>1.6249804210054499</v>
      </c>
      <c r="D41" s="8">
        <v>3.0932539134022798E-2</v>
      </c>
    </row>
    <row r="42" spans="1:4" x14ac:dyDescent="0.2">
      <c r="A42" s="8" t="s">
        <v>1370</v>
      </c>
      <c r="B42" s="8" t="s">
        <v>1371</v>
      </c>
      <c r="C42" s="8">
        <v>2.3771439004649202</v>
      </c>
      <c r="D42" s="8">
        <v>3.19706472179309E-3</v>
      </c>
    </row>
    <row r="43" spans="1:4" x14ac:dyDescent="0.2">
      <c r="A43" s="8" t="s">
        <v>1372</v>
      </c>
      <c r="B43" s="8" t="s">
        <v>1373</v>
      </c>
      <c r="C43" s="8">
        <v>2.28156848883012</v>
      </c>
      <c r="D43" s="8">
        <v>3.3422653866614402E-2</v>
      </c>
    </row>
    <row r="44" spans="1:4" x14ac:dyDescent="0.2">
      <c r="A44" s="8" t="s">
        <v>1374</v>
      </c>
      <c r="B44" s="8" t="s">
        <v>1375</v>
      </c>
      <c r="C44" s="8">
        <v>-2.4367443382892802</v>
      </c>
      <c r="D44" s="8">
        <v>4.1863232571278299E-3</v>
      </c>
    </row>
    <row r="45" spans="1:4" x14ac:dyDescent="0.2">
      <c r="A45" s="8" t="s">
        <v>1376</v>
      </c>
      <c r="B45" s="8" t="s">
        <v>1377</v>
      </c>
      <c r="C45" s="8">
        <v>-2.3826982734371498</v>
      </c>
      <c r="D45" s="8">
        <v>2.7051302213993801E-2</v>
      </c>
    </row>
    <row r="46" spans="1:4" x14ac:dyDescent="0.2">
      <c r="A46" s="8" t="s">
        <v>1378</v>
      </c>
      <c r="B46" s="8" t="s">
        <v>1379</v>
      </c>
      <c r="C46" s="8">
        <v>1.31620804798726</v>
      </c>
      <c r="D46" s="8">
        <v>5.2331472124286403E-3</v>
      </c>
    </row>
    <row r="47" spans="1:4" x14ac:dyDescent="0.2">
      <c r="A47" s="8" t="s">
        <v>1380</v>
      </c>
      <c r="B47" s="8" t="s">
        <v>1381</v>
      </c>
      <c r="C47" s="8">
        <v>2.8959010115085499</v>
      </c>
      <c r="D47" s="9">
        <v>1.5986844289102798E-5</v>
      </c>
    </row>
    <row r="48" spans="1:4" x14ac:dyDescent="0.2">
      <c r="A48" s="8" t="s">
        <v>1382</v>
      </c>
      <c r="B48" s="8" t="s">
        <v>1383</v>
      </c>
      <c r="C48" s="8">
        <v>2.7376314596804301</v>
      </c>
      <c r="D48" s="9">
        <v>7.4218785358395599E-5</v>
      </c>
    </row>
    <row r="49" spans="1:4" x14ac:dyDescent="0.2">
      <c r="A49" s="8" t="s">
        <v>1384</v>
      </c>
      <c r="B49" s="8" t="s">
        <v>1385</v>
      </c>
      <c r="C49" s="8">
        <v>1.8551981988811499</v>
      </c>
      <c r="D49" s="8">
        <v>2.37644697808208E-2</v>
      </c>
    </row>
    <row r="50" spans="1:4" x14ac:dyDescent="0.2">
      <c r="A50" s="8" t="s">
        <v>1386</v>
      </c>
      <c r="B50" s="8" t="s">
        <v>1387</v>
      </c>
      <c r="C50" s="8">
        <v>1.01645458831397</v>
      </c>
      <c r="D50" s="8">
        <v>6.5336381883663499E-3</v>
      </c>
    </row>
    <row r="51" spans="1:4" x14ac:dyDescent="0.2">
      <c r="A51" s="8" t="s">
        <v>1388</v>
      </c>
      <c r="B51" s="8" t="s">
        <v>1389</v>
      </c>
      <c r="C51" s="8">
        <v>1.4915054387437501</v>
      </c>
      <c r="D51" s="8">
        <v>2.0433489342918498E-2</v>
      </c>
    </row>
    <row r="52" spans="1:4" x14ac:dyDescent="0.2">
      <c r="A52" s="8" t="s">
        <v>1390</v>
      </c>
      <c r="B52" s="8" t="s">
        <v>1391</v>
      </c>
      <c r="C52" s="8">
        <v>-2.30188413011152</v>
      </c>
      <c r="D52" s="8">
        <v>1.8561551686416201E-2</v>
      </c>
    </row>
    <row r="53" spans="1:4" x14ac:dyDescent="0.2">
      <c r="A53" s="8" t="s">
        <v>1392</v>
      </c>
      <c r="B53" s="8" t="s">
        <v>1393</v>
      </c>
      <c r="C53" s="8">
        <v>1.0659826574697799</v>
      </c>
      <c r="D53" s="8">
        <v>1.4490330000473201E-2</v>
      </c>
    </row>
    <row r="54" spans="1:4" x14ac:dyDescent="0.2">
      <c r="A54" s="8" t="s">
        <v>1394</v>
      </c>
      <c r="B54" s="8" t="s">
        <v>1395</v>
      </c>
      <c r="C54" s="8">
        <v>-1.7043961650652399</v>
      </c>
      <c r="D54" s="8">
        <v>4.9889372668821798E-2</v>
      </c>
    </row>
    <row r="55" spans="1:4" x14ac:dyDescent="0.2">
      <c r="A55" s="8" t="s">
        <v>1396</v>
      </c>
      <c r="B55" s="8" t="s">
        <v>1397</v>
      </c>
      <c r="C55" s="8">
        <v>-1.7056284910777499</v>
      </c>
      <c r="D55" s="8">
        <v>3.4718623722519999E-2</v>
      </c>
    </row>
    <row r="56" spans="1:4" x14ac:dyDescent="0.2">
      <c r="A56" s="8" t="s">
        <v>1398</v>
      </c>
      <c r="B56" s="8" t="s">
        <v>1399</v>
      </c>
      <c r="C56" s="8">
        <v>-2.4425015682051598</v>
      </c>
      <c r="D56" s="8">
        <v>1.62926684848483E-2</v>
      </c>
    </row>
    <row r="57" spans="1:4" x14ac:dyDescent="0.2">
      <c r="A57" s="8" t="s">
        <v>1400</v>
      </c>
      <c r="B57" s="8" t="s">
        <v>1401</v>
      </c>
      <c r="C57" s="8">
        <v>-1.3537746427747499</v>
      </c>
      <c r="D57" s="8">
        <v>1.2848737642944899E-2</v>
      </c>
    </row>
    <row r="58" spans="1:4" x14ac:dyDescent="0.2">
      <c r="A58" s="8" t="s">
        <v>1402</v>
      </c>
      <c r="B58" s="8" t="s">
        <v>1403</v>
      </c>
      <c r="C58" s="8">
        <v>-1.7843016937599501</v>
      </c>
      <c r="D58" s="8">
        <v>8.9143647476918695E-3</v>
      </c>
    </row>
    <row r="59" spans="1:4" x14ac:dyDescent="0.2">
      <c r="A59" s="8" t="s">
        <v>1404</v>
      </c>
      <c r="B59" s="8" t="s">
        <v>1405</v>
      </c>
      <c r="C59" s="8">
        <v>-1.94589362041324</v>
      </c>
      <c r="D59" s="8">
        <v>1.8487363844667901E-2</v>
      </c>
    </row>
    <row r="60" spans="1:4" x14ac:dyDescent="0.2">
      <c r="A60" s="8" t="s">
        <v>1406</v>
      </c>
      <c r="B60" s="8" t="s">
        <v>1407</v>
      </c>
      <c r="C60" s="8">
        <v>1.2761795901149999</v>
      </c>
      <c r="D60" s="8">
        <v>3.4825522507422901E-3</v>
      </c>
    </row>
    <row r="61" spans="1:4" x14ac:dyDescent="0.2">
      <c r="A61" s="8" t="s">
        <v>1408</v>
      </c>
      <c r="B61" s="8" t="s">
        <v>1409</v>
      </c>
      <c r="C61" s="8">
        <v>-1.73948581434259</v>
      </c>
      <c r="D61" s="8">
        <v>3.3044204460312698E-2</v>
      </c>
    </row>
    <row r="62" spans="1:4" x14ac:dyDescent="0.2">
      <c r="A62" s="8" t="s">
        <v>1410</v>
      </c>
      <c r="B62" s="8" t="s">
        <v>1411</v>
      </c>
      <c r="C62" s="8">
        <v>1.43117883343518</v>
      </c>
      <c r="D62" s="8">
        <v>9.4819701843996496E-4</v>
      </c>
    </row>
    <row r="63" spans="1:4" x14ac:dyDescent="0.2">
      <c r="A63" s="8" t="s">
        <v>1412</v>
      </c>
      <c r="B63" s="8" t="s">
        <v>1413</v>
      </c>
      <c r="C63" s="8">
        <v>-1.80484815681681</v>
      </c>
      <c r="D63" s="8">
        <v>7.7902380948291303E-3</v>
      </c>
    </row>
    <row r="64" spans="1:4" x14ac:dyDescent="0.2">
      <c r="A64" s="8" t="s">
        <v>1414</v>
      </c>
      <c r="B64" s="8" t="s">
        <v>1415</v>
      </c>
      <c r="C64" s="8">
        <v>-1.40865636826495</v>
      </c>
      <c r="D64" s="8">
        <v>3.9921568161248297E-2</v>
      </c>
    </row>
    <row r="65" spans="1:4" x14ac:dyDescent="0.2">
      <c r="A65" s="8" t="s">
        <v>1416</v>
      </c>
      <c r="B65" s="8" t="s">
        <v>1417</v>
      </c>
      <c r="C65" s="8">
        <v>2.8959640322109999</v>
      </c>
      <c r="D65" s="8">
        <v>2.2443042652328899E-2</v>
      </c>
    </row>
    <row r="66" spans="1:4" x14ac:dyDescent="0.2">
      <c r="A66" s="8" t="s">
        <v>1418</v>
      </c>
      <c r="B66" s="8" t="s">
        <v>1419</v>
      </c>
      <c r="C66" s="8">
        <v>1.8079267822202501</v>
      </c>
      <c r="D66" s="8">
        <v>7.4688891494996404E-3</v>
      </c>
    </row>
    <row r="67" spans="1:4" x14ac:dyDescent="0.2">
      <c r="A67" s="8" t="s">
        <v>1420</v>
      </c>
      <c r="B67" s="8" t="s">
        <v>1421</v>
      </c>
      <c r="C67" s="8">
        <v>1.9128476145286299</v>
      </c>
      <c r="D67" s="8">
        <v>3.8810558676377598E-3</v>
      </c>
    </row>
    <row r="68" spans="1:4" x14ac:dyDescent="0.2">
      <c r="A68" s="8" t="s">
        <v>1422</v>
      </c>
      <c r="B68" s="8" t="s">
        <v>1423</v>
      </c>
      <c r="C68" s="8">
        <v>-2.1471002993316302</v>
      </c>
      <c r="D68" s="8">
        <v>2.3954354165132499E-2</v>
      </c>
    </row>
    <row r="69" spans="1:4" x14ac:dyDescent="0.2">
      <c r="A69" s="8" t="s">
        <v>1424</v>
      </c>
      <c r="B69" s="8" t="s">
        <v>1425</v>
      </c>
      <c r="C69" s="8">
        <v>2.1698207918971701</v>
      </c>
      <c r="D69" s="8">
        <v>4.6804283223432198E-2</v>
      </c>
    </row>
    <row r="70" spans="1:4" x14ac:dyDescent="0.2">
      <c r="A70" s="8" t="s">
        <v>1426</v>
      </c>
      <c r="B70" s="8" t="s">
        <v>1427</v>
      </c>
      <c r="C70" s="8">
        <v>1.99091688723511</v>
      </c>
      <c r="D70" s="8">
        <v>2.67800794960001E-2</v>
      </c>
    </row>
    <row r="71" spans="1:4" x14ac:dyDescent="0.2">
      <c r="A71" s="8" t="s">
        <v>1428</v>
      </c>
      <c r="B71" s="8" t="s">
        <v>1429</v>
      </c>
      <c r="C71" s="8">
        <v>1.06707591545563</v>
      </c>
      <c r="D71" s="8">
        <v>1.22955909551903E-3</v>
      </c>
    </row>
    <row r="72" spans="1:4" x14ac:dyDescent="0.2">
      <c r="A72" s="8" t="s">
        <v>1430</v>
      </c>
      <c r="B72" s="8" t="s">
        <v>1431</v>
      </c>
      <c r="C72" s="8">
        <v>-3.7572777546233098</v>
      </c>
      <c r="D72" s="8">
        <v>4.4650694315632898E-3</v>
      </c>
    </row>
    <row r="73" spans="1:4" x14ac:dyDescent="0.2">
      <c r="A73" s="8" t="s">
        <v>1432</v>
      </c>
      <c r="B73" s="8" t="s">
        <v>1433</v>
      </c>
      <c r="C73" s="8">
        <v>2.6727621669011299</v>
      </c>
      <c r="D73" s="8">
        <v>1.4175853902328099E-3</v>
      </c>
    </row>
    <row r="74" spans="1:4" x14ac:dyDescent="0.2">
      <c r="A74" s="8" t="s">
        <v>1434</v>
      </c>
      <c r="B74" s="8" t="s">
        <v>1435</v>
      </c>
      <c r="C74" s="8">
        <v>2.65693865230091</v>
      </c>
      <c r="D74" s="9">
        <v>8.0650170119608401E-6</v>
      </c>
    </row>
    <row r="75" spans="1:4" x14ac:dyDescent="0.2">
      <c r="A75" s="8" t="s">
        <v>1436</v>
      </c>
      <c r="B75" s="8" t="s">
        <v>1437</v>
      </c>
      <c r="C75" s="8">
        <v>1.2868654540008999</v>
      </c>
      <c r="D75" s="8">
        <v>4.88437483200061E-4</v>
      </c>
    </row>
    <row r="76" spans="1:4" x14ac:dyDescent="0.2">
      <c r="A76" s="8" t="s">
        <v>1438</v>
      </c>
      <c r="B76" s="8" t="s">
        <v>1439</v>
      </c>
      <c r="C76" s="8">
        <v>1.19576219479122</v>
      </c>
      <c r="D76" s="8">
        <v>7.1906806002795505E-4</v>
      </c>
    </row>
    <row r="77" spans="1:4" x14ac:dyDescent="0.2">
      <c r="A77" s="8" t="s">
        <v>1440</v>
      </c>
      <c r="B77" s="8" t="s">
        <v>1441</v>
      </c>
      <c r="C77" s="8">
        <v>-2.62625350701351</v>
      </c>
      <c r="D77" s="8">
        <v>4.0994835240988702E-2</v>
      </c>
    </row>
    <row r="78" spans="1:4" x14ac:dyDescent="0.2">
      <c r="A78" s="8" t="s">
        <v>1442</v>
      </c>
      <c r="B78" s="8" t="s">
        <v>1443</v>
      </c>
      <c r="C78" s="8">
        <v>1.28213958917392</v>
      </c>
      <c r="D78" s="8">
        <v>1.10042299001996E-2</v>
      </c>
    </row>
    <row r="79" spans="1:4" x14ac:dyDescent="0.2">
      <c r="A79" s="8" t="s">
        <v>1444</v>
      </c>
      <c r="B79" s="8" t="s">
        <v>1445</v>
      </c>
      <c r="C79" s="8">
        <v>-1.19030479297494</v>
      </c>
      <c r="D79" s="8">
        <v>4.7246711222887601E-2</v>
      </c>
    </row>
    <row r="80" spans="1:4" x14ac:dyDescent="0.2">
      <c r="A80" s="8" t="s">
        <v>1446</v>
      </c>
      <c r="B80" s="8" t="s">
        <v>1447</v>
      </c>
      <c r="C80" s="8">
        <v>-1.56617241134934</v>
      </c>
      <c r="D80" s="8">
        <v>1.15799563310231E-2</v>
      </c>
    </row>
    <row r="81" spans="1:4" x14ac:dyDescent="0.2">
      <c r="A81" s="8" t="s">
        <v>1448</v>
      </c>
      <c r="B81" s="8" t="s">
        <v>1449</v>
      </c>
      <c r="C81" s="8">
        <v>-2.1835164042761899</v>
      </c>
      <c r="D81" s="8">
        <v>5.4500116314205403E-3</v>
      </c>
    </row>
    <row r="82" spans="1:4" x14ac:dyDescent="0.2">
      <c r="A82" s="8" t="s">
        <v>1450</v>
      </c>
      <c r="B82" s="8" t="s">
        <v>1451</v>
      </c>
      <c r="C82" s="8">
        <v>-2.1837124577956</v>
      </c>
      <c r="D82" s="8">
        <v>3.88884900234306E-3</v>
      </c>
    </row>
    <row r="83" spans="1:4" x14ac:dyDescent="0.2">
      <c r="A83" s="8" t="s">
        <v>1452</v>
      </c>
      <c r="B83" s="8" t="s">
        <v>1453</v>
      </c>
      <c r="C83" s="8">
        <v>-1.62572107573416</v>
      </c>
      <c r="D83" s="8">
        <v>1.9843442218319001E-2</v>
      </c>
    </row>
    <row r="84" spans="1:4" x14ac:dyDescent="0.2">
      <c r="A84" s="8" t="s">
        <v>1454</v>
      </c>
      <c r="B84" s="8" t="s">
        <v>1455</v>
      </c>
      <c r="C84" s="8">
        <v>-2.4493545837566799</v>
      </c>
      <c r="D84" s="8">
        <v>2.85971857936866E-2</v>
      </c>
    </row>
    <row r="85" spans="1:4" x14ac:dyDescent="0.2">
      <c r="A85" s="8" t="s">
        <v>1456</v>
      </c>
      <c r="B85" s="8" t="s">
        <v>1457</v>
      </c>
      <c r="C85" s="8">
        <v>-1.7165436261536999</v>
      </c>
      <c r="D85" s="8">
        <v>3.6685508849882101E-2</v>
      </c>
    </row>
    <row r="86" spans="1:4" x14ac:dyDescent="0.2">
      <c r="A86" s="8" t="s">
        <v>1458</v>
      </c>
      <c r="B86" s="8" t="s">
        <v>1459</v>
      </c>
      <c r="C86" s="8">
        <v>-1.95483268515697</v>
      </c>
      <c r="D86" s="8">
        <v>1.2730919429005101E-2</v>
      </c>
    </row>
    <row r="87" spans="1:4" x14ac:dyDescent="0.2">
      <c r="A87" s="8" t="s">
        <v>1460</v>
      </c>
      <c r="B87" s="8" t="s">
        <v>1461</v>
      </c>
      <c r="C87" s="8">
        <v>-2.2733616826057501</v>
      </c>
      <c r="D87" s="8">
        <v>3.79038922361592E-3</v>
      </c>
    </row>
    <row r="88" spans="1:4" x14ac:dyDescent="0.2">
      <c r="A88" s="8" t="s">
        <v>1462</v>
      </c>
      <c r="B88" s="8" t="s">
        <v>1463</v>
      </c>
      <c r="C88" s="8">
        <v>-2.13000225868505</v>
      </c>
      <c r="D88" s="8">
        <v>3.7820174893883202E-2</v>
      </c>
    </row>
    <row r="89" spans="1:4" x14ac:dyDescent="0.2">
      <c r="A89" s="8" t="s">
        <v>1464</v>
      </c>
      <c r="B89" s="8" t="s">
        <v>1465</v>
      </c>
      <c r="C89" s="8">
        <v>1.75179653548507</v>
      </c>
      <c r="D89" s="8">
        <v>6.8180578003169201E-3</v>
      </c>
    </row>
    <row r="90" spans="1:4" x14ac:dyDescent="0.2">
      <c r="A90" s="8" t="s">
        <v>1466</v>
      </c>
      <c r="B90" s="8" t="s">
        <v>1467</v>
      </c>
      <c r="C90" s="8">
        <v>-2.1722605650198101</v>
      </c>
      <c r="D90" s="8">
        <v>3.4626602252340703E-2</v>
      </c>
    </row>
    <row r="91" spans="1:4" x14ac:dyDescent="0.2">
      <c r="A91" s="8" t="s">
        <v>1468</v>
      </c>
      <c r="B91" s="8" t="s">
        <v>1469</v>
      </c>
      <c r="C91" s="8">
        <v>1.56566914020143</v>
      </c>
      <c r="D91" s="8">
        <v>1.50553131101968E-2</v>
      </c>
    </row>
    <row r="92" spans="1:4" x14ac:dyDescent="0.2">
      <c r="A92" s="8" t="s">
        <v>1470</v>
      </c>
      <c r="B92" s="8" t="s">
        <v>1471</v>
      </c>
      <c r="C92" s="8">
        <v>2.0934169772533702</v>
      </c>
      <c r="D92" s="8">
        <v>2.06140471189286E-4</v>
      </c>
    </row>
    <row r="93" spans="1:4" x14ac:dyDescent="0.2">
      <c r="A93" s="8" t="s">
        <v>1472</v>
      </c>
      <c r="B93" s="8" t="s">
        <v>1473</v>
      </c>
      <c r="C93" s="8">
        <v>1.62007094968127</v>
      </c>
      <c r="D93" s="8">
        <v>4.3953072871282597E-3</v>
      </c>
    </row>
    <row r="94" spans="1:4" x14ac:dyDescent="0.2">
      <c r="A94" s="8" t="s">
        <v>1474</v>
      </c>
      <c r="B94" s="8" t="s">
        <v>1475</v>
      </c>
      <c r="C94" s="8">
        <v>1.62196385860145</v>
      </c>
      <c r="D94" s="8">
        <v>3.7159815290384299E-2</v>
      </c>
    </row>
    <row r="95" spans="1:4" x14ac:dyDescent="0.2">
      <c r="A95" s="8" t="s">
        <v>1476</v>
      </c>
      <c r="B95" s="8" t="s">
        <v>1477</v>
      </c>
      <c r="C95" s="8">
        <v>2.77525136687508</v>
      </c>
      <c r="D95" s="8">
        <v>2.23581052513993E-4</v>
      </c>
    </row>
    <row r="96" spans="1:4" x14ac:dyDescent="0.2">
      <c r="A96" s="8" t="s">
        <v>1478</v>
      </c>
      <c r="B96" s="8" t="s">
        <v>1479</v>
      </c>
      <c r="C96" s="8">
        <v>1.1798971721045799</v>
      </c>
      <c r="D96" s="8">
        <v>1.8992068289069401E-2</v>
      </c>
    </row>
    <row r="97" spans="1:4" x14ac:dyDescent="0.2">
      <c r="A97" s="8" t="s">
        <v>1480</v>
      </c>
      <c r="B97" s="8" t="s">
        <v>1481</v>
      </c>
      <c r="C97" s="8">
        <v>1.7979441568243899</v>
      </c>
      <c r="D97" s="8">
        <v>1.12152366314362E-4</v>
      </c>
    </row>
    <row r="98" spans="1:4" x14ac:dyDescent="0.2">
      <c r="A98" s="8" t="s">
        <v>1482</v>
      </c>
      <c r="B98" s="8" t="s">
        <v>1483</v>
      </c>
      <c r="C98" s="8">
        <v>2.1638796833501601</v>
      </c>
      <c r="D98" s="8">
        <v>1.0298602919921001E-3</v>
      </c>
    </row>
    <row r="99" spans="1:4" x14ac:dyDescent="0.2">
      <c r="A99" s="8" t="s">
        <v>1484</v>
      </c>
      <c r="B99" s="8" t="s">
        <v>1485</v>
      </c>
      <c r="C99" s="8">
        <v>1.3815573806483901</v>
      </c>
      <c r="D99" s="8">
        <v>8.4408287025563699E-3</v>
      </c>
    </row>
    <row r="100" spans="1:4" x14ac:dyDescent="0.2">
      <c r="A100" s="8" t="s">
        <v>1486</v>
      </c>
      <c r="B100" s="8" t="s">
        <v>1487</v>
      </c>
      <c r="C100" s="8">
        <v>-1.1520687727344201</v>
      </c>
      <c r="D100" s="8">
        <v>1.8156957072956E-2</v>
      </c>
    </row>
    <row r="101" spans="1:4" x14ac:dyDescent="0.2">
      <c r="A101" s="8" t="s">
        <v>1488</v>
      </c>
      <c r="B101" s="8" t="s">
        <v>1489</v>
      </c>
      <c r="C101" s="8">
        <v>1.0521557796816201</v>
      </c>
      <c r="D101" s="8">
        <v>5.5336450484919598E-3</v>
      </c>
    </row>
    <row r="102" spans="1:4" x14ac:dyDescent="0.2">
      <c r="A102" s="8" t="s">
        <v>1490</v>
      </c>
      <c r="B102" s="8" t="s">
        <v>1491</v>
      </c>
      <c r="C102" s="8">
        <v>1.1794775169324501</v>
      </c>
      <c r="D102" s="8">
        <v>3.79934101991386E-2</v>
      </c>
    </row>
    <row r="103" spans="1:4" x14ac:dyDescent="0.2">
      <c r="A103" s="8" t="s">
        <v>1492</v>
      </c>
      <c r="B103" s="8" t="s">
        <v>1493</v>
      </c>
      <c r="C103" s="8">
        <v>3.3305747756290098</v>
      </c>
      <c r="D103" s="8">
        <v>2.72310578399278E-3</v>
      </c>
    </row>
    <row r="104" spans="1:4" x14ac:dyDescent="0.2">
      <c r="A104" s="8" t="s">
        <v>1494</v>
      </c>
      <c r="B104" s="8" t="s">
        <v>1495</v>
      </c>
      <c r="C104" s="8">
        <v>-1.6047894970910499</v>
      </c>
      <c r="D104" s="8">
        <v>9.4215131006071193E-3</v>
      </c>
    </row>
    <row r="105" spans="1:4" x14ac:dyDescent="0.2">
      <c r="A105" s="8" t="s">
        <v>1496</v>
      </c>
      <c r="B105" s="8" t="s">
        <v>1497</v>
      </c>
      <c r="C105" s="8">
        <v>2.42621600357967</v>
      </c>
      <c r="D105" s="8">
        <v>4.8836569245979495E-4</v>
      </c>
    </row>
    <row r="106" spans="1:4" x14ac:dyDescent="0.2">
      <c r="A106" s="8" t="s">
        <v>1498</v>
      </c>
      <c r="B106" s="8" t="s">
        <v>1499</v>
      </c>
      <c r="C106" s="8">
        <v>-3.6767332253000302</v>
      </c>
      <c r="D106" s="8">
        <v>5.69583372675683E-3</v>
      </c>
    </row>
    <row r="107" spans="1:4" x14ac:dyDescent="0.2">
      <c r="A107" s="8" t="s">
        <v>1500</v>
      </c>
      <c r="B107" s="8" t="s">
        <v>1501</v>
      </c>
      <c r="C107" s="8">
        <v>-2.3948243588453799</v>
      </c>
      <c r="D107" s="8">
        <v>1.62454175777332E-3</v>
      </c>
    </row>
    <row r="108" spans="1:4" x14ac:dyDescent="0.2">
      <c r="A108" s="8" t="s">
        <v>1502</v>
      </c>
      <c r="B108" s="8" t="s">
        <v>1503</v>
      </c>
      <c r="C108" s="8">
        <v>-1.9890400347422199</v>
      </c>
      <c r="D108" s="8">
        <v>2.1298594956468402E-2</v>
      </c>
    </row>
    <row r="109" spans="1:4" x14ac:dyDescent="0.2">
      <c r="A109" s="8" t="s">
        <v>1504</v>
      </c>
      <c r="B109" s="8" t="s">
        <v>1505</v>
      </c>
      <c r="C109" s="8">
        <v>-2.00753210781102</v>
      </c>
      <c r="D109" s="8">
        <v>8.3330179516235992E-3</v>
      </c>
    </row>
    <row r="110" spans="1:4" x14ac:dyDescent="0.2">
      <c r="A110" s="8" t="s">
        <v>1506</v>
      </c>
      <c r="B110" s="8" t="s">
        <v>1507</v>
      </c>
      <c r="C110" s="8">
        <v>-1.2584612280598599</v>
      </c>
      <c r="D110" s="8">
        <v>6.9123872568739603E-3</v>
      </c>
    </row>
    <row r="111" spans="1:4" x14ac:dyDescent="0.2">
      <c r="A111" s="8" t="s">
        <v>1508</v>
      </c>
      <c r="B111" s="8" t="s">
        <v>1509</v>
      </c>
      <c r="C111" s="8">
        <v>1.2546506729173701</v>
      </c>
      <c r="D111" s="8">
        <v>1.8799446970134699E-2</v>
      </c>
    </row>
    <row r="112" spans="1:4" x14ac:dyDescent="0.2">
      <c r="A112" s="8" t="s">
        <v>1510</v>
      </c>
      <c r="B112" s="8" t="s">
        <v>1511</v>
      </c>
      <c r="C112" s="8">
        <v>1.4689493476694599</v>
      </c>
      <c r="D112" s="8">
        <v>1.99897565637755E-3</v>
      </c>
    </row>
    <row r="113" spans="1:4" x14ac:dyDescent="0.2">
      <c r="A113" s="8" t="s">
        <v>1512</v>
      </c>
      <c r="B113" s="8" t="s">
        <v>1513</v>
      </c>
      <c r="C113" s="8">
        <v>1.0856743414082899</v>
      </c>
      <c r="D113" s="8">
        <v>6.2238537308223702E-3</v>
      </c>
    </row>
    <row r="114" spans="1:4" x14ac:dyDescent="0.2">
      <c r="A114" s="8" t="s">
        <v>1514</v>
      </c>
      <c r="B114" s="8" t="s">
        <v>1515</v>
      </c>
      <c r="C114" s="8">
        <v>2.1042001011226299</v>
      </c>
      <c r="D114" s="8">
        <v>1.5650273849523201E-2</v>
      </c>
    </row>
    <row r="115" spans="1:4" x14ac:dyDescent="0.2">
      <c r="A115" s="8" t="s">
        <v>1516</v>
      </c>
      <c r="B115" s="8" t="s">
        <v>1517</v>
      </c>
      <c r="C115" s="8">
        <v>-2.87678840712783</v>
      </c>
      <c r="D115" s="8">
        <v>1.30273560286925E-2</v>
      </c>
    </row>
    <row r="116" spans="1:4" x14ac:dyDescent="0.2">
      <c r="A116" s="8" t="s">
        <v>1518</v>
      </c>
      <c r="B116" s="8" t="s">
        <v>1519</v>
      </c>
      <c r="C116" s="8">
        <v>-3.6187168616052401</v>
      </c>
      <c r="D116" s="8">
        <v>6.7230904578647801E-3</v>
      </c>
    </row>
    <row r="117" spans="1:4" x14ac:dyDescent="0.2">
      <c r="A117" s="8" t="s">
        <v>1520</v>
      </c>
      <c r="B117" s="8" t="s">
        <v>1521</v>
      </c>
      <c r="C117" s="8">
        <v>1.22284858228747</v>
      </c>
      <c r="D117" s="8">
        <v>3.23924782984801E-3</v>
      </c>
    </row>
    <row r="118" spans="1:4" x14ac:dyDescent="0.2">
      <c r="A118" s="8" t="s">
        <v>1522</v>
      </c>
      <c r="B118" s="8" t="s">
        <v>1523</v>
      </c>
      <c r="C118" s="8">
        <v>1.87699341242058</v>
      </c>
      <c r="D118" s="8">
        <v>3.84674258620884E-2</v>
      </c>
    </row>
    <row r="119" spans="1:4" x14ac:dyDescent="0.2">
      <c r="A119" s="8" t="s">
        <v>1524</v>
      </c>
      <c r="B119" s="8" t="s">
        <v>1525</v>
      </c>
      <c r="C119" s="8">
        <v>-1.6251995191158299</v>
      </c>
      <c r="D119" s="8">
        <v>3.4470574605848001E-2</v>
      </c>
    </row>
    <row r="120" spans="1:4" x14ac:dyDescent="0.2">
      <c r="A120" s="8" t="s">
        <v>1526</v>
      </c>
      <c r="B120" s="8" t="s">
        <v>1527</v>
      </c>
      <c r="C120" s="8">
        <v>-1.6690861094429801</v>
      </c>
      <c r="D120" s="8">
        <v>1.0717959733752299E-2</v>
      </c>
    </row>
    <row r="121" spans="1:4" x14ac:dyDescent="0.2">
      <c r="A121" s="8" t="s">
        <v>1528</v>
      </c>
      <c r="B121" s="8" t="s">
        <v>1529</v>
      </c>
      <c r="C121" s="8">
        <v>1.01609881908077</v>
      </c>
      <c r="D121" s="8">
        <v>1.66943470805991E-3</v>
      </c>
    </row>
    <row r="122" spans="1:4" x14ac:dyDescent="0.2">
      <c r="A122" s="8" t="s">
        <v>1530</v>
      </c>
      <c r="B122" s="8" t="s">
        <v>1531</v>
      </c>
      <c r="C122" s="8">
        <v>-2.2130931822980902</v>
      </c>
      <c r="D122" s="8">
        <v>6.0066416077311198E-3</v>
      </c>
    </row>
    <row r="123" spans="1:4" x14ac:dyDescent="0.2">
      <c r="A123" s="8" t="s">
        <v>1532</v>
      </c>
      <c r="B123" s="8" t="s">
        <v>1533</v>
      </c>
      <c r="C123" s="8">
        <v>1.4041371088690999</v>
      </c>
      <c r="D123" s="8">
        <v>1.5623749633185999E-2</v>
      </c>
    </row>
    <row r="124" spans="1:4" x14ac:dyDescent="0.2">
      <c r="A124" s="8" t="s">
        <v>1534</v>
      </c>
      <c r="B124" s="8" t="s">
        <v>1535</v>
      </c>
      <c r="C124" s="8">
        <v>1.5637690654840599</v>
      </c>
      <c r="D124" s="8">
        <v>4.0581926341860799E-3</v>
      </c>
    </row>
    <row r="125" spans="1:4" x14ac:dyDescent="0.2">
      <c r="A125" s="8" t="s">
        <v>1536</v>
      </c>
      <c r="B125" s="8" t="s">
        <v>1537</v>
      </c>
      <c r="C125" s="8">
        <v>2.8795614580689999</v>
      </c>
      <c r="D125" s="8">
        <v>3.00187163537039E-2</v>
      </c>
    </row>
    <row r="126" spans="1:4" x14ac:dyDescent="0.2">
      <c r="A126" s="8" t="s">
        <v>1538</v>
      </c>
      <c r="B126" s="8" t="s">
        <v>1539</v>
      </c>
      <c r="C126" s="8">
        <v>1.8424618239023201</v>
      </c>
      <c r="D126" s="8">
        <v>1.67901198987357E-3</v>
      </c>
    </row>
    <row r="127" spans="1:4" x14ac:dyDescent="0.2">
      <c r="A127" s="8" t="s">
        <v>1540</v>
      </c>
      <c r="B127" s="8" t="s">
        <v>1541</v>
      </c>
      <c r="C127" s="8">
        <v>-2.5311061686294698</v>
      </c>
      <c r="D127" s="8">
        <v>1.8760459643379899E-3</v>
      </c>
    </row>
    <row r="128" spans="1:4" x14ac:dyDescent="0.2">
      <c r="A128" s="8" t="s">
        <v>1542</v>
      </c>
      <c r="B128" s="8" t="s">
        <v>1543</v>
      </c>
      <c r="C128" s="8">
        <v>-1.47804218364914</v>
      </c>
      <c r="D128" s="8">
        <v>8.8930309572674993E-3</v>
      </c>
    </row>
    <row r="129" spans="1:4" x14ac:dyDescent="0.2">
      <c r="A129" s="8" t="s">
        <v>1544</v>
      </c>
      <c r="B129" s="8" t="s">
        <v>1545</v>
      </c>
      <c r="C129" s="8">
        <v>-2.6434703400967599</v>
      </c>
      <c r="D129" s="8">
        <v>3.5031737603802598E-2</v>
      </c>
    </row>
    <row r="130" spans="1:4" x14ac:dyDescent="0.2">
      <c r="A130" s="8" t="s">
        <v>1546</v>
      </c>
      <c r="B130" s="8" t="s">
        <v>1547</v>
      </c>
      <c r="C130" s="8">
        <v>-2.5471561930353102</v>
      </c>
      <c r="D130" s="8">
        <v>5.1597926419592799E-3</v>
      </c>
    </row>
    <row r="131" spans="1:4" x14ac:dyDescent="0.2">
      <c r="A131" s="8" t="s">
        <v>1548</v>
      </c>
      <c r="B131" s="8" t="s">
        <v>1549</v>
      </c>
      <c r="C131" s="8">
        <v>-1.5992330264382399</v>
      </c>
      <c r="D131" s="8">
        <v>5.8769573853617897E-3</v>
      </c>
    </row>
    <row r="132" spans="1:4" x14ac:dyDescent="0.2">
      <c r="A132" s="8" t="s">
        <v>1550</v>
      </c>
      <c r="B132" s="8" t="s">
        <v>1551</v>
      </c>
      <c r="C132" s="8">
        <v>1.23125124645872</v>
      </c>
      <c r="D132" s="8">
        <v>3.161671398973E-3</v>
      </c>
    </row>
    <row r="133" spans="1:4" x14ac:dyDescent="0.2">
      <c r="A133" s="8" t="s">
        <v>1552</v>
      </c>
      <c r="B133" s="8" t="s">
        <v>1553</v>
      </c>
      <c r="C133" s="8">
        <v>-1.91934895225971</v>
      </c>
      <c r="D133" s="8">
        <v>4.7613074054952603E-2</v>
      </c>
    </row>
    <row r="134" spans="1:4" x14ac:dyDescent="0.2">
      <c r="A134" s="8" t="s">
        <v>1554</v>
      </c>
      <c r="B134" s="8" t="s">
        <v>1555</v>
      </c>
      <c r="C134" s="8">
        <v>-1.9040995326405299</v>
      </c>
      <c r="D134" s="8">
        <v>2.10535446566881E-2</v>
      </c>
    </row>
    <row r="135" spans="1:4" x14ac:dyDescent="0.2">
      <c r="A135" s="8" t="s">
        <v>1556</v>
      </c>
      <c r="B135" s="8" t="s">
        <v>1557</v>
      </c>
      <c r="C135" s="8">
        <v>1.1162921998608799</v>
      </c>
      <c r="D135" s="8">
        <v>5.9559140078089701E-3</v>
      </c>
    </row>
    <row r="136" spans="1:4" x14ac:dyDescent="0.2">
      <c r="A136" s="8" t="s">
        <v>1558</v>
      </c>
      <c r="B136" s="8" t="s">
        <v>1559</v>
      </c>
      <c r="C136" s="8">
        <v>-1.3242324827722101</v>
      </c>
      <c r="D136" s="8">
        <v>4.0510324842374101E-2</v>
      </c>
    </row>
    <row r="137" spans="1:4" x14ac:dyDescent="0.2">
      <c r="A137" s="8" t="s">
        <v>1560</v>
      </c>
      <c r="B137" s="8" t="s">
        <v>1561</v>
      </c>
      <c r="C137" s="8">
        <v>1.5239017840328699</v>
      </c>
      <c r="D137" s="8">
        <v>3.310203329078E-2</v>
      </c>
    </row>
    <row r="138" spans="1:4" x14ac:dyDescent="0.2">
      <c r="A138" s="8" t="s">
        <v>1562</v>
      </c>
      <c r="B138" s="8" t="s">
        <v>1563</v>
      </c>
      <c r="C138" s="8">
        <v>1.61713087839311</v>
      </c>
      <c r="D138" s="8">
        <v>1.20979530156245E-2</v>
      </c>
    </row>
    <row r="139" spans="1:4" x14ac:dyDescent="0.2">
      <c r="A139" s="8" t="s">
        <v>1564</v>
      </c>
      <c r="B139" s="8" t="s">
        <v>1565</v>
      </c>
      <c r="C139" s="8">
        <v>1.13162099045013</v>
      </c>
      <c r="D139" s="8">
        <v>3.17880016372038E-2</v>
      </c>
    </row>
    <row r="140" spans="1:4" x14ac:dyDescent="0.2">
      <c r="A140" s="8" t="s">
        <v>1566</v>
      </c>
      <c r="B140" s="8" t="s">
        <v>1567</v>
      </c>
      <c r="C140" s="8">
        <v>-2.2053860283238702</v>
      </c>
      <c r="D140" s="8">
        <v>1.9633866628028001E-2</v>
      </c>
    </row>
    <row r="141" spans="1:4" x14ac:dyDescent="0.2">
      <c r="A141" s="8" t="s">
        <v>1568</v>
      </c>
      <c r="B141" s="8" t="s">
        <v>1569</v>
      </c>
      <c r="C141" s="8">
        <v>-1.96758984706471</v>
      </c>
      <c r="D141" s="8">
        <v>2.16645885401659E-2</v>
      </c>
    </row>
    <row r="142" spans="1:4" x14ac:dyDescent="0.2">
      <c r="A142" s="8" t="s">
        <v>1570</v>
      </c>
      <c r="B142" s="8" t="s">
        <v>1571</v>
      </c>
      <c r="C142" s="8">
        <v>-1.2468459478965801</v>
      </c>
      <c r="D142" s="8">
        <v>1.01936395218152E-3</v>
      </c>
    </row>
    <row r="143" spans="1:4" x14ac:dyDescent="0.2">
      <c r="A143" s="8" t="s">
        <v>1572</v>
      </c>
      <c r="B143" s="8" t="s">
        <v>1573</v>
      </c>
      <c r="C143" s="8">
        <v>1.48531286585819</v>
      </c>
      <c r="D143" s="8">
        <v>4.9669291323922102E-3</v>
      </c>
    </row>
    <row r="144" spans="1:4" x14ac:dyDescent="0.2">
      <c r="A144" s="8" t="s">
        <v>1574</v>
      </c>
      <c r="B144" s="8" t="s">
        <v>1575</v>
      </c>
      <c r="C144" s="8">
        <v>1.6774382943520401</v>
      </c>
      <c r="D144" s="8">
        <v>1.31986661703631E-2</v>
      </c>
    </row>
    <row r="145" spans="1:4" x14ac:dyDescent="0.2">
      <c r="A145" s="8" t="s">
        <v>1576</v>
      </c>
      <c r="B145" s="8" t="s">
        <v>1577</v>
      </c>
      <c r="C145" s="8">
        <v>1.0741568491778899</v>
      </c>
      <c r="D145" s="8">
        <v>4.0746783042382002E-2</v>
      </c>
    </row>
    <row r="146" spans="1:4" x14ac:dyDescent="0.2">
      <c r="A146" s="8" t="s">
        <v>1578</v>
      </c>
      <c r="B146" s="8" t="s">
        <v>1579</v>
      </c>
      <c r="C146" s="8">
        <v>-1.70238933051945</v>
      </c>
      <c r="D146" s="8">
        <v>1.7621112657773701E-2</v>
      </c>
    </row>
    <row r="147" spans="1:4" x14ac:dyDescent="0.2">
      <c r="A147" s="8" t="s">
        <v>1580</v>
      </c>
      <c r="B147" s="8" t="s">
        <v>1581</v>
      </c>
      <c r="C147" s="8">
        <v>1.6430664671842501</v>
      </c>
      <c r="D147" s="8">
        <v>5.1259896226714301E-3</v>
      </c>
    </row>
    <row r="148" spans="1:4" x14ac:dyDescent="0.2">
      <c r="A148" s="8" t="s">
        <v>1582</v>
      </c>
      <c r="B148" s="8" t="s">
        <v>1583</v>
      </c>
      <c r="C148" s="8">
        <v>-1.66161313626382</v>
      </c>
      <c r="D148" s="8">
        <v>1.1301195434348699E-2</v>
      </c>
    </row>
    <row r="149" spans="1:4" x14ac:dyDescent="0.2">
      <c r="A149" s="8" t="s">
        <v>1584</v>
      </c>
      <c r="B149" s="8" t="s">
        <v>1585</v>
      </c>
      <c r="C149" s="8">
        <v>-1.7435294067073801</v>
      </c>
      <c r="D149" s="8">
        <v>4.4504987169245204E-3</v>
      </c>
    </row>
    <row r="150" spans="1:4" x14ac:dyDescent="0.2">
      <c r="A150" s="8" t="s">
        <v>1586</v>
      </c>
      <c r="B150" s="8" t="s">
        <v>1587</v>
      </c>
      <c r="C150" s="8">
        <v>-1.72669581656216</v>
      </c>
      <c r="D150" s="8">
        <v>1.4167708606405E-2</v>
      </c>
    </row>
    <row r="151" spans="1:4" x14ac:dyDescent="0.2">
      <c r="A151" s="8" t="s">
        <v>1588</v>
      </c>
      <c r="B151" s="8" t="s">
        <v>1589</v>
      </c>
      <c r="C151" s="8">
        <v>1.0543084407685399</v>
      </c>
      <c r="D151" s="8">
        <v>3.8465810522845603E-2</v>
      </c>
    </row>
    <row r="152" spans="1:4" x14ac:dyDescent="0.2">
      <c r="A152" s="8" t="s">
        <v>1590</v>
      </c>
      <c r="B152" s="8" t="s">
        <v>1591</v>
      </c>
      <c r="C152" s="8">
        <v>1.0621385151513201</v>
      </c>
      <c r="D152" s="8">
        <v>1.54080312294043E-2</v>
      </c>
    </row>
    <row r="153" spans="1:4" x14ac:dyDescent="0.2">
      <c r="A153" s="8" t="s">
        <v>1592</v>
      </c>
      <c r="B153" s="8" t="s">
        <v>1593</v>
      </c>
      <c r="C153" s="8">
        <v>-1.41687739804619</v>
      </c>
      <c r="D153" s="8">
        <v>3.8631336417587502E-2</v>
      </c>
    </row>
    <row r="154" spans="1:4" x14ac:dyDescent="0.2">
      <c r="A154" s="8" t="s">
        <v>1594</v>
      </c>
      <c r="B154" s="8" t="s">
        <v>1595</v>
      </c>
      <c r="C154" s="8">
        <v>-1.5355673555631499</v>
      </c>
      <c r="D154" s="8">
        <v>2.87301015584474E-2</v>
      </c>
    </row>
    <row r="155" spans="1:4" x14ac:dyDescent="0.2">
      <c r="A155" s="8" t="s">
        <v>1596</v>
      </c>
      <c r="B155" s="8" t="s">
        <v>1597</v>
      </c>
      <c r="C155" s="8">
        <v>-2.5285571476756101</v>
      </c>
      <c r="D155" s="8">
        <v>4.6214124843423797E-3</v>
      </c>
    </row>
    <row r="156" spans="1:4" x14ac:dyDescent="0.2">
      <c r="A156" s="8" t="s">
        <v>1598</v>
      </c>
      <c r="B156" s="8" t="s">
        <v>1599</v>
      </c>
      <c r="C156" s="8">
        <v>-2.83541431517803</v>
      </c>
      <c r="D156" s="8">
        <v>4.1578161035254304E-3</v>
      </c>
    </row>
    <row r="157" spans="1:4" x14ac:dyDescent="0.2">
      <c r="A157" s="8" t="s">
        <v>1600</v>
      </c>
      <c r="B157" s="8" t="s">
        <v>1601</v>
      </c>
      <c r="C157" s="8">
        <v>1.08287738822672</v>
      </c>
      <c r="D157" s="8">
        <v>1.7125994978273299E-3</v>
      </c>
    </row>
    <row r="158" spans="1:4" x14ac:dyDescent="0.2">
      <c r="A158" s="8" t="s">
        <v>1602</v>
      </c>
      <c r="B158" s="8" t="s">
        <v>1603</v>
      </c>
      <c r="C158" s="8">
        <v>-1.0617868051916299</v>
      </c>
      <c r="D158" s="8">
        <v>1.3717919246561501E-2</v>
      </c>
    </row>
    <row r="159" spans="1:4" x14ac:dyDescent="0.2">
      <c r="A159" s="8" t="s">
        <v>1604</v>
      </c>
      <c r="B159" s="8" t="s">
        <v>1605</v>
      </c>
      <c r="C159" s="8">
        <v>-1.1320688183583101</v>
      </c>
      <c r="D159" s="8">
        <v>1.9060064022169001E-2</v>
      </c>
    </row>
    <row r="160" spans="1:4" x14ac:dyDescent="0.2">
      <c r="A160" s="8" t="s">
        <v>1606</v>
      </c>
      <c r="B160" s="8" t="s">
        <v>1607</v>
      </c>
      <c r="C160" s="8">
        <v>1.7006205563601899</v>
      </c>
      <c r="D160" s="8">
        <v>3.7241798602904101E-2</v>
      </c>
    </row>
    <row r="161" spans="1:4" x14ac:dyDescent="0.2">
      <c r="A161" s="8" t="s">
        <v>1608</v>
      </c>
      <c r="B161" s="8" t="s">
        <v>1609</v>
      </c>
      <c r="C161" s="8">
        <v>-1.98892679412415</v>
      </c>
      <c r="D161" s="8">
        <v>2.4835750773258801E-2</v>
      </c>
    </row>
    <row r="162" spans="1:4" x14ac:dyDescent="0.2">
      <c r="A162" s="8" t="s">
        <v>1610</v>
      </c>
      <c r="B162" s="8" t="s">
        <v>1611</v>
      </c>
      <c r="C162" s="8">
        <v>-1.2405609731463301</v>
      </c>
      <c r="D162" s="8">
        <v>1.8206314583207001E-2</v>
      </c>
    </row>
    <row r="163" spans="1:4" x14ac:dyDescent="0.2">
      <c r="A163" s="8" t="s">
        <v>1612</v>
      </c>
      <c r="B163" s="8" t="s">
        <v>1613</v>
      </c>
      <c r="C163" s="8">
        <v>1.1237237782109899</v>
      </c>
      <c r="D163" s="8">
        <v>1.7006060069784199E-2</v>
      </c>
    </row>
    <row r="164" spans="1:4" x14ac:dyDescent="0.2">
      <c r="A164" s="8" t="s">
        <v>1614</v>
      </c>
      <c r="B164" s="8" t="s">
        <v>1615</v>
      </c>
      <c r="C164" s="8">
        <v>-2.8288520227295102</v>
      </c>
      <c r="D164" s="8">
        <v>3.1733858163982402E-3</v>
      </c>
    </row>
    <row r="165" spans="1:4" x14ac:dyDescent="0.2">
      <c r="A165" s="8" t="s">
        <v>1616</v>
      </c>
      <c r="B165" s="8" t="s">
        <v>1617</v>
      </c>
      <c r="C165" s="8">
        <v>-1.8123169328087401</v>
      </c>
      <c r="D165" s="8">
        <v>2.5070996291756101E-3</v>
      </c>
    </row>
    <row r="166" spans="1:4" x14ac:dyDescent="0.2">
      <c r="A166" s="8" t="s">
        <v>1618</v>
      </c>
      <c r="B166" s="8" t="s">
        <v>1619</v>
      </c>
      <c r="C166" s="8">
        <v>-2.2783123210837601</v>
      </c>
      <c r="D166" s="8">
        <v>5.7704165270580096E-3</v>
      </c>
    </row>
    <row r="167" spans="1:4" x14ac:dyDescent="0.2">
      <c r="A167" s="8" t="s">
        <v>1620</v>
      </c>
      <c r="B167" s="8" t="s">
        <v>1621</v>
      </c>
      <c r="C167" s="8">
        <v>-1.7745184120369499</v>
      </c>
      <c r="D167" s="8">
        <v>1.3333820921056E-2</v>
      </c>
    </row>
    <row r="168" spans="1:4" x14ac:dyDescent="0.2">
      <c r="A168" s="8" t="s">
        <v>1622</v>
      </c>
      <c r="B168" s="8" t="s">
        <v>1623</v>
      </c>
      <c r="C168" s="8">
        <v>-1.7581267073749201</v>
      </c>
      <c r="D168" s="8">
        <v>3.2381692956854002E-3</v>
      </c>
    </row>
    <row r="169" spans="1:4" x14ac:dyDescent="0.2">
      <c r="A169" s="8" t="s">
        <v>1624</v>
      </c>
      <c r="B169" s="8" t="s">
        <v>1625</v>
      </c>
      <c r="C169" s="8">
        <v>-1.41360853925805</v>
      </c>
      <c r="D169" s="8">
        <v>1.46540062147226E-2</v>
      </c>
    </row>
    <row r="170" spans="1:4" x14ac:dyDescent="0.2">
      <c r="A170" s="8" t="s">
        <v>1626</v>
      </c>
      <c r="B170" s="8" t="s">
        <v>1627</v>
      </c>
      <c r="C170" s="8">
        <v>1.6479211409580601</v>
      </c>
      <c r="D170" s="8">
        <v>4.4289121199277498E-2</v>
      </c>
    </row>
    <row r="171" spans="1:4" x14ac:dyDescent="0.2">
      <c r="A171" s="8" t="s">
        <v>1628</v>
      </c>
      <c r="B171" s="8" t="s">
        <v>1629</v>
      </c>
      <c r="C171" s="8">
        <v>1.6194102547595</v>
      </c>
      <c r="D171" s="8">
        <v>5.5269696639729604E-4</v>
      </c>
    </row>
    <row r="172" spans="1:4" x14ac:dyDescent="0.2">
      <c r="A172" s="8" t="s">
        <v>1630</v>
      </c>
      <c r="B172" s="8" t="s">
        <v>1631</v>
      </c>
      <c r="C172" s="8">
        <v>-1.6471738284295101</v>
      </c>
      <c r="D172" s="8">
        <v>1.68264910799963E-2</v>
      </c>
    </row>
    <row r="173" spans="1:4" x14ac:dyDescent="0.2">
      <c r="A173" s="8" t="s">
        <v>1632</v>
      </c>
      <c r="B173" s="8" t="s">
        <v>1633</v>
      </c>
      <c r="C173" s="8">
        <v>1.29129157505619</v>
      </c>
      <c r="D173" s="8">
        <v>2.38454231337588E-2</v>
      </c>
    </row>
    <row r="174" spans="1:4" x14ac:dyDescent="0.2">
      <c r="A174" s="8" t="s">
        <v>1634</v>
      </c>
      <c r="B174" s="8" t="s">
        <v>1635</v>
      </c>
      <c r="C174" s="8">
        <v>1.00991723454475</v>
      </c>
      <c r="D174" s="8">
        <v>3.5395324524277398E-2</v>
      </c>
    </row>
    <row r="175" spans="1:4" x14ac:dyDescent="0.2">
      <c r="A175" s="8" t="s">
        <v>1636</v>
      </c>
      <c r="B175" s="8" t="s">
        <v>1637</v>
      </c>
      <c r="C175" s="8">
        <v>1.48836125047185</v>
      </c>
      <c r="D175" s="8">
        <v>2.0027292088371298E-2</v>
      </c>
    </row>
    <row r="176" spans="1:4" x14ac:dyDescent="0.2">
      <c r="A176" s="8" t="s">
        <v>1638</v>
      </c>
      <c r="B176" s="8" t="s">
        <v>1639</v>
      </c>
      <c r="C176" s="8">
        <v>-3.03388660065011</v>
      </c>
      <c r="D176" s="8">
        <v>2.5408033942871E-2</v>
      </c>
    </row>
    <row r="177" spans="1:4" x14ac:dyDescent="0.2">
      <c r="A177" s="8" t="s">
        <v>1640</v>
      </c>
      <c r="B177" s="8" t="s">
        <v>1641</v>
      </c>
      <c r="C177" s="8">
        <v>-2.1511028650239199</v>
      </c>
      <c r="D177" s="8">
        <v>4.6086120856726601E-2</v>
      </c>
    </row>
    <row r="178" spans="1:4" x14ac:dyDescent="0.2">
      <c r="A178" s="8" t="s">
        <v>1642</v>
      </c>
      <c r="B178" s="8" t="s">
        <v>1643</v>
      </c>
      <c r="C178" s="8">
        <v>-3.04389639820783</v>
      </c>
      <c r="D178" s="8">
        <v>1.66049677821259E-2</v>
      </c>
    </row>
    <row r="179" spans="1:4" x14ac:dyDescent="0.2">
      <c r="A179" s="8" t="s">
        <v>1644</v>
      </c>
      <c r="B179" s="8" t="s">
        <v>1645</v>
      </c>
      <c r="C179" s="8">
        <v>1.1161637325359699</v>
      </c>
      <c r="D179" s="8">
        <v>1.92048212999377E-2</v>
      </c>
    </row>
    <row r="180" spans="1:4" x14ac:dyDescent="0.2">
      <c r="A180" s="8" t="s">
        <v>1646</v>
      </c>
      <c r="B180" s="8" t="s">
        <v>1647</v>
      </c>
      <c r="C180" s="8">
        <v>2.0047502030378599</v>
      </c>
      <c r="D180" s="8">
        <v>3.92857033290422E-3</v>
      </c>
    </row>
    <row r="181" spans="1:4" x14ac:dyDescent="0.2">
      <c r="A181" s="8" t="s">
        <v>1648</v>
      </c>
      <c r="B181" s="8" t="s">
        <v>1649</v>
      </c>
      <c r="C181" s="8">
        <v>2.0371972648019101</v>
      </c>
      <c r="D181" s="8">
        <v>8.2286001909929792E-3</v>
      </c>
    </row>
    <row r="182" spans="1:4" x14ac:dyDescent="0.2">
      <c r="A182" s="8" t="s">
        <v>1650</v>
      </c>
      <c r="B182" s="8" t="s">
        <v>1651</v>
      </c>
      <c r="C182" s="8">
        <v>-2.3973827610583198</v>
      </c>
      <c r="D182" s="8">
        <v>3.8750117143949998E-2</v>
      </c>
    </row>
    <row r="183" spans="1:4" x14ac:dyDescent="0.2">
      <c r="A183" s="8" t="s">
        <v>1652</v>
      </c>
      <c r="B183" s="8" t="s">
        <v>1653</v>
      </c>
      <c r="C183" s="8">
        <v>-1.8439162103600799</v>
      </c>
      <c r="D183" s="8">
        <v>3.5463259842438297E-2</v>
      </c>
    </row>
    <row r="184" spans="1:4" x14ac:dyDescent="0.2">
      <c r="A184" s="8" t="s">
        <v>1654</v>
      </c>
      <c r="B184" s="8" t="s">
        <v>1655</v>
      </c>
      <c r="C184" s="8">
        <v>1.67131160577106</v>
      </c>
      <c r="D184" s="8">
        <v>2.4025332714522799E-2</v>
      </c>
    </row>
    <row r="185" spans="1:4" x14ac:dyDescent="0.2">
      <c r="A185" s="8" t="s">
        <v>1656</v>
      </c>
      <c r="B185" s="8" t="s">
        <v>1657</v>
      </c>
      <c r="C185" s="8">
        <v>-2.4514715336948498</v>
      </c>
      <c r="D185" s="8">
        <v>1.47293313488643E-2</v>
      </c>
    </row>
    <row r="186" spans="1:4" x14ac:dyDescent="0.2">
      <c r="A186" s="8" t="s">
        <v>1658</v>
      </c>
      <c r="B186" s="8" t="s">
        <v>1659</v>
      </c>
      <c r="C186" s="8">
        <v>-3.0250882368960399</v>
      </c>
      <c r="D186" s="8">
        <v>1.5181074288517201E-2</v>
      </c>
    </row>
    <row r="187" spans="1:4" x14ac:dyDescent="0.2">
      <c r="A187" s="8" t="s">
        <v>1660</v>
      </c>
      <c r="B187" s="8" t="s">
        <v>1661</v>
      </c>
      <c r="C187" s="8">
        <v>-1.08728047819842</v>
      </c>
      <c r="D187" s="8">
        <v>2.0560278510931E-2</v>
      </c>
    </row>
    <row r="188" spans="1:4" x14ac:dyDescent="0.2">
      <c r="A188" s="8" t="s">
        <v>1662</v>
      </c>
      <c r="B188" s="8" t="s">
        <v>1663</v>
      </c>
      <c r="C188" s="8">
        <v>-3.2815907881084598</v>
      </c>
      <c r="D188" s="8">
        <v>1.8153097533346999E-3</v>
      </c>
    </row>
    <row r="189" spans="1:4" x14ac:dyDescent="0.2">
      <c r="A189" s="8" t="s">
        <v>1664</v>
      </c>
      <c r="B189" s="8" t="s">
        <v>1665</v>
      </c>
      <c r="C189" s="8">
        <v>1.6567166462194201</v>
      </c>
      <c r="D189" s="8">
        <v>4.34898220358483E-4</v>
      </c>
    </row>
    <row r="190" spans="1:4" x14ac:dyDescent="0.2">
      <c r="A190" s="8" t="s">
        <v>1666</v>
      </c>
      <c r="B190" s="8" t="s">
        <v>1667</v>
      </c>
      <c r="C190" s="8">
        <v>2.3569608100221102</v>
      </c>
      <c r="D190" s="8">
        <v>6.9096907621477499E-4</v>
      </c>
    </row>
    <row r="191" spans="1:4" x14ac:dyDescent="0.2">
      <c r="A191" s="8" t="s">
        <v>1668</v>
      </c>
      <c r="B191" s="8" t="s">
        <v>1669</v>
      </c>
      <c r="C191" s="8">
        <v>2.1050366519908201</v>
      </c>
      <c r="D191" s="8">
        <v>1.6642797735809899E-3</v>
      </c>
    </row>
    <row r="192" spans="1:4" x14ac:dyDescent="0.2">
      <c r="A192" s="8" t="s">
        <v>1670</v>
      </c>
      <c r="B192" s="8" t="s">
        <v>1671</v>
      </c>
      <c r="C192" s="8">
        <v>-2.0463172641589198</v>
      </c>
      <c r="D192" s="8">
        <v>1.7571499007416901E-2</v>
      </c>
    </row>
    <row r="193" spans="1:4" x14ac:dyDescent="0.2">
      <c r="A193" s="8" t="s">
        <v>1672</v>
      </c>
      <c r="B193" s="8" t="s">
        <v>1673</v>
      </c>
      <c r="C193" s="8">
        <v>1.48421580951163</v>
      </c>
      <c r="D193" s="8">
        <v>1.09995874647157E-2</v>
      </c>
    </row>
    <row r="194" spans="1:4" x14ac:dyDescent="0.2">
      <c r="A194" s="8" t="s">
        <v>1674</v>
      </c>
      <c r="B194" s="8" t="s">
        <v>1675</v>
      </c>
      <c r="C194" s="8">
        <v>-1.90506647116679</v>
      </c>
      <c r="D194" s="8">
        <v>1.87674293870429E-2</v>
      </c>
    </row>
    <row r="195" spans="1:4" x14ac:dyDescent="0.2">
      <c r="A195" s="8" t="s">
        <v>1676</v>
      </c>
      <c r="B195" s="8" t="s">
        <v>1677</v>
      </c>
      <c r="C195" s="8">
        <v>-1.1935622016547001</v>
      </c>
      <c r="D195" s="8">
        <v>1.88763378095816E-2</v>
      </c>
    </row>
    <row r="196" spans="1:4" x14ac:dyDescent="0.2">
      <c r="A196" s="8" t="s">
        <v>1678</v>
      </c>
      <c r="B196" s="8" t="s">
        <v>1679</v>
      </c>
      <c r="C196" s="8">
        <v>-1.23224004374622</v>
      </c>
      <c r="D196" s="8">
        <v>3.9464897738151698E-2</v>
      </c>
    </row>
    <row r="197" spans="1:4" x14ac:dyDescent="0.2">
      <c r="A197" s="8" t="s">
        <v>1680</v>
      </c>
      <c r="B197" s="8" t="s">
        <v>1681</v>
      </c>
      <c r="C197" s="8">
        <v>-1.7826576027427501</v>
      </c>
      <c r="D197" s="8">
        <v>1.7329439737622299E-2</v>
      </c>
    </row>
    <row r="198" spans="1:4" x14ac:dyDescent="0.2">
      <c r="A198" s="8" t="s">
        <v>1682</v>
      </c>
      <c r="B198" s="8" t="s">
        <v>1683</v>
      </c>
      <c r="C198" s="8">
        <v>-3.16343810206279</v>
      </c>
      <c r="D198" s="8">
        <v>2.0303721382254902E-2</v>
      </c>
    </row>
    <row r="199" spans="1:4" x14ac:dyDescent="0.2">
      <c r="A199" s="8" t="s">
        <v>1684</v>
      </c>
      <c r="B199" s="8" t="s">
        <v>1685</v>
      </c>
      <c r="C199" s="8">
        <v>1.07087385706455</v>
      </c>
      <c r="D199" s="8">
        <v>2.9760628253548802E-3</v>
      </c>
    </row>
    <row r="200" spans="1:4" x14ac:dyDescent="0.2">
      <c r="A200" s="8" t="s">
        <v>1686</v>
      </c>
      <c r="B200" s="8" t="s">
        <v>1687</v>
      </c>
      <c r="C200" s="8">
        <v>3.9379084454531599</v>
      </c>
      <c r="D200" s="9">
        <v>6.85137195426308E-5</v>
      </c>
    </row>
    <row r="201" spans="1:4" x14ac:dyDescent="0.2">
      <c r="A201" s="8" t="s">
        <v>1688</v>
      </c>
      <c r="B201" s="8" t="s">
        <v>1689</v>
      </c>
      <c r="C201" s="8">
        <v>-3.0172419132356301</v>
      </c>
      <c r="D201" s="8">
        <v>3.4800904557034398E-2</v>
      </c>
    </row>
    <row r="202" spans="1:4" x14ac:dyDescent="0.2">
      <c r="A202" s="8" t="s">
        <v>1690</v>
      </c>
      <c r="B202" s="8" t="s">
        <v>1691</v>
      </c>
      <c r="C202" s="8">
        <v>-3.1359914191002298</v>
      </c>
      <c r="D202" s="8">
        <v>3.0414287443263299E-2</v>
      </c>
    </row>
    <row r="203" spans="1:4" x14ac:dyDescent="0.2">
      <c r="A203" s="8" t="s">
        <v>1692</v>
      </c>
      <c r="B203" s="8" t="s">
        <v>1693</v>
      </c>
      <c r="C203" s="8">
        <v>-1.15576656398598</v>
      </c>
      <c r="D203" s="8">
        <v>2.7849699189215999E-2</v>
      </c>
    </row>
    <row r="204" spans="1:4" x14ac:dyDescent="0.2">
      <c r="A204" s="8" t="s">
        <v>1694</v>
      </c>
      <c r="B204" s="8" t="s">
        <v>1695</v>
      </c>
      <c r="C204" s="8">
        <v>1.4689465399559201</v>
      </c>
      <c r="D204" s="8">
        <v>4.2587806395497002E-2</v>
      </c>
    </row>
    <row r="205" spans="1:4" x14ac:dyDescent="0.2">
      <c r="A205" s="8" t="s">
        <v>1696</v>
      </c>
      <c r="B205" s="8" t="s">
        <v>1697</v>
      </c>
      <c r="C205" s="8">
        <v>2.5156594222694801</v>
      </c>
      <c r="D205" s="8">
        <v>4.6871669643248598E-2</v>
      </c>
    </row>
    <row r="206" spans="1:4" x14ac:dyDescent="0.2">
      <c r="A206" s="8" t="s">
        <v>1698</v>
      </c>
      <c r="B206" s="8" t="s">
        <v>1699</v>
      </c>
      <c r="C206" s="8">
        <v>1.1508329492527201</v>
      </c>
      <c r="D206" s="8">
        <v>1.87881347055327E-3</v>
      </c>
    </row>
    <row r="207" spans="1:4" x14ac:dyDescent="0.2">
      <c r="A207" s="8" t="s">
        <v>1700</v>
      </c>
      <c r="B207" s="8" t="s">
        <v>1701</v>
      </c>
      <c r="C207" s="8">
        <v>-1.4877514921165</v>
      </c>
      <c r="D207" s="8">
        <v>7.3930648157052399E-3</v>
      </c>
    </row>
    <row r="208" spans="1:4" x14ac:dyDescent="0.2">
      <c r="A208" s="8" t="s">
        <v>1702</v>
      </c>
      <c r="B208" s="8" t="s">
        <v>1703</v>
      </c>
      <c r="C208" s="8">
        <v>-2.50894545341216</v>
      </c>
      <c r="D208" s="8">
        <v>3.0616291352507098E-4</v>
      </c>
    </row>
    <row r="209" spans="1:4" x14ac:dyDescent="0.2">
      <c r="A209" s="8" t="s">
        <v>1704</v>
      </c>
      <c r="B209" s="8" t="s">
        <v>1705</v>
      </c>
      <c r="C209" s="8">
        <v>1.18933011335647</v>
      </c>
      <c r="D209" s="8">
        <v>4.8428366836251902E-2</v>
      </c>
    </row>
    <row r="210" spans="1:4" x14ac:dyDescent="0.2">
      <c r="A210" s="8" t="s">
        <v>1706</v>
      </c>
      <c r="B210" s="8" t="s">
        <v>1707</v>
      </c>
      <c r="C210" s="8">
        <v>1.69884885801125</v>
      </c>
      <c r="D210" s="8">
        <v>1.5027196134214599E-3</v>
      </c>
    </row>
    <row r="211" spans="1:4" x14ac:dyDescent="0.2">
      <c r="A211" s="8" t="s">
        <v>1708</v>
      </c>
      <c r="B211" s="8" t="s">
        <v>1709</v>
      </c>
      <c r="C211" s="8">
        <v>-1.9736564169556501</v>
      </c>
      <c r="D211" s="8">
        <v>1.6671013668483298E-2</v>
      </c>
    </row>
    <row r="212" spans="1:4" x14ac:dyDescent="0.2">
      <c r="A212" s="8" t="s">
        <v>1710</v>
      </c>
      <c r="B212" s="8" t="s">
        <v>1711</v>
      </c>
      <c r="C212" s="8">
        <v>1.74233537763711</v>
      </c>
      <c r="D212" s="8">
        <v>3.5255765115611001E-2</v>
      </c>
    </row>
    <row r="213" spans="1:4" x14ac:dyDescent="0.2">
      <c r="A213" s="8" t="s">
        <v>1712</v>
      </c>
      <c r="B213" s="8" t="s">
        <v>1713</v>
      </c>
      <c r="C213" s="8">
        <v>-1.8018121632502999</v>
      </c>
      <c r="D213" s="8">
        <v>1.7598589836040499E-2</v>
      </c>
    </row>
    <row r="214" spans="1:4" x14ac:dyDescent="0.2">
      <c r="A214" s="8" t="s">
        <v>1714</v>
      </c>
      <c r="B214" s="8" t="s">
        <v>1715</v>
      </c>
      <c r="C214" s="8">
        <v>-1.2513648971998399</v>
      </c>
      <c r="D214" s="8">
        <v>1.9237307996302001E-2</v>
      </c>
    </row>
    <row r="215" spans="1:4" x14ac:dyDescent="0.2">
      <c r="A215" s="8" t="s">
        <v>1716</v>
      </c>
      <c r="B215" s="8" t="s">
        <v>1717</v>
      </c>
      <c r="C215" s="8">
        <v>2.8745672334863102</v>
      </c>
      <c r="D215" s="8">
        <v>2.47225483505881E-3</v>
      </c>
    </row>
    <row r="216" spans="1:4" x14ac:dyDescent="0.2">
      <c r="A216" s="8" t="s">
        <v>1718</v>
      </c>
      <c r="B216" s="8" t="s">
        <v>1719</v>
      </c>
      <c r="C216" s="8">
        <v>2.1351415626490202</v>
      </c>
      <c r="D216" s="8">
        <v>6.8776454164852802E-3</v>
      </c>
    </row>
    <row r="217" spans="1:4" x14ac:dyDescent="0.2">
      <c r="A217" s="8" t="s">
        <v>1720</v>
      </c>
      <c r="B217" s="8" t="s">
        <v>1721</v>
      </c>
      <c r="C217" s="8">
        <v>1.0349265584653</v>
      </c>
      <c r="D217" s="8">
        <v>4.4277806749173497E-2</v>
      </c>
    </row>
    <row r="218" spans="1:4" x14ac:dyDescent="0.2">
      <c r="A218" s="8" t="s">
        <v>1722</v>
      </c>
      <c r="B218" s="8" t="s">
        <v>1723</v>
      </c>
      <c r="C218" s="8">
        <v>1.4800135091714399</v>
      </c>
      <c r="D218" s="8">
        <v>3.90863120244965E-2</v>
      </c>
    </row>
    <row r="219" spans="1:4" x14ac:dyDescent="0.2">
      <c r="A219" s="8" t="s">
        <v>1724</v>
      </c>
      <c r="B219" s="8" t="s">
        <v>1725</v>
      </c>
      <c r="C219" s="8">
        <v>1.24145014026087</v>
      </c>
      <c r="D219" s="8">
        <v>7.0781247536765802E-3</v>
      </c>
    </row>
    <row r="220" spans="1:4" x14ac:dyDescent="0.2">
      <c r="A220" s="8" t="s">
        <v>1726</v>
      </c>
      <c r="B220" s="8" t="s">
        <v>1727</v>
      </c>
      <c r="C220" s="8">
        <v>-1.95148080998262</v>
      </c>
      <c r="D220" s="8">
        <v>6.0970184283853498E-3</v>
      </c>
    </row>
    <row r="221" spans="1:4" x14ac:dyDescent="0.2">
      <c r="A221" s="8" t="s">
        <v>1728</v>
      </c>
      <c r="B221" s="8" t="s">
        <v>1729</v>
      </c>
      <c r="C221" s="8">
        <v>-2.1611823482058599</v>
      </c>
      <c r="D221" s="8">
        <v>2.58018556708642E-2</v>
      </c>
    </row>
    <row r="222" spans="1:4" x14ac:dyDescent="0.2">
      <c r="A222" s="8" t="s">
        <v>1730</v>
      </c>
      <c r="B222" s="8" t="s">
        <v>1731</v>
      </c>
      <c r="C222" s="8">
        <v>1.3649591009448601</v>
      </c>
      <c r="D222" s="8">
        <v>1.4321006260119801E-3</v>
      </c>
    </row>
    <row r="223" spans="1:4" x14ac:dyDescent="0.2">
      <c r="A223" s="8" t="s">
        <v>1732</v>
      </c>
      <c r="B223" s="8" t="s">
        <v>1733</v>
      </c>
      <c r="C223" s="8">
        <v>1.1343119815253699</v>
      </c>
      <c r="D223" s="8">
        <v>8.9867811837772904E-4</v>
      </c>
    </row>
    <row r="224" spans="1:4" x14ac:dyDescent="0.2">
      <c r="A224" s="8" t="s">
        <v>1734</v>
      </c>
      <c r="B224" s="8" t="s">
        <v>1735</v>
      </c>
      <c r="C224" s="8">
        <v>2.52544234936336</v>
      </c>
      <c r="D224" s="8">
        <v>6.2365900563314796E-3</v>
      </c>
    </row>
    <row r="225" spans="1:4" x14ac:dyDescent="0.2">
      <c r="A225" s="8" t="s">
        <v>1736</v>
      </c>
      <c r="B225" s="8" t="s">
        <v>1737</v>
      </c>
      <c r="C225" s="8">
        <v>2.1324516635972901</v>
      </c>
      <c r="D225" s="9">
        <v>1.22528108085112E-5</v>
      </c>
    </row>
    <row r="226" spans="1:4" x14ac:dyDescent="0.2">
      <c r="A226" s="8" t="s">
        <v>1738</v>
      </c>
      <c r="B226" s="8" t="s">
        <v>1739</v>
      </c>
      <c r="C226" s="8">
        <v>1.4512321041004099</v>
      </c>
      <c r="D226" s="8">
        <v>2.7453448121438101E-2</v>
      </c>
    </row>
    <row r="227" spans="1:4" x14ac:dyDescent="0.2">
      <c r="A227" s="8" t="s">
        <v>1740</v>
      </c>
      <c r="B227" s="8" t="s">
        <v>1741</v>
      </c>
      <c r="C227" s="8">
        <v>1.2289176525030401</v>
      </c>
      <c r="D227" s="8">
        <v>2.9559875922512101E-2</v>
      </c>
    </row>
    <row r="228" spans="1:4" x14ac:dyDescent="0.2">
      <c r="A228" s="8" t="s">
        <v>1742</v>
      </c>
      <c r="B228" s="8" t="s">
        <v>1743</v>
      </c>
      <c r="C228" s="8">
        <v>-1.7042209688777099</v>
      </c>
      <c r="D228" s="8">
        <v>1.82646022164435E-2</v>
      </c>
    </row>
    <row r="229" spans="1:4" x14ac:dyDescent="0.2">
      <c r="A229" s="8" t="s">
        <v>1744</v>
      </c>
      <c r="B229" s="8" t="s">
        <v>1745</v>
      </c>
      <c r="C229" s="8">
        <v>-1.65914291109219</v>
      </c>
      <c r="D229" s="8">
        <v>4.8945782836899702E-2</v>
      </c>
    </row>
    <row r="230" spans="1:4" x14ac:dyDescent="0.2">
      <c r="A230" s="8" t="s">
        <v>1746</v>
      </c>
      <c r="B230" s="8" t="s">
        <v>1747</v>
      </c>
      <c r="C230" s="8">
        <v>1.48770027841973</v>
      </c>
      <c r="D230" s="8">
        <v>2.3739897564335901E-4</v>
      </c>
    </row>
    <row r="231" spans="1:4" x14ac:dyDescent="0.2">
      <c r="A231" s="8" t="s">
        <v>1748</v>
      </c>
      <c r="B231" s="8" t="s">
        <v>1749</v>
      </c>
      <c r="C231" s="8">
        <v>1.2191460904808</v>
      </c>
      <c r="D231" s="8">
        <v>1.8241663687424001E-2</v>
      </c>
    </row>
    <row r="232" spans="1:4" x14ac:dyDescent="0.2">
      <c r="A232" s="8" t="s">
        <v>1750</v>
      </c>
      <c r="B232" s="8" t="s">
        <v>1751</v>
      </c>
      <c r="C232" s="8">
        <v>-2.3533235541306601</v>
      </c>
      <c r="D232" s="8">
        <v>2.5979351107682701E-2</v>
      </c>
    </row>
    <row r="233" spans="1:4" x14ac:dyDescent="0.2">
      <c r="A233" s="8" t="s">
        <v>1752</v>
      </c>
      <c r="B233" s="8" t="s">
        <v>1753</v>
      </c>
      <c r="C233" s="8">
        <v>-1.3681385325839399</v>
      </c>
      <c r="D233" s="8">
        <v>3.1232906332517098E-2</v>
      </c>
    </row>
    <row r="234" spans="1:4" x14ac:dyDescent="0.2">
      <c r="A234" s="8" t="s">
        <v>1754</v>
      </c>
      <c r="B234" s="8" t="s">
        <v>1755</v>
      </c>
      <c r="C234" s="8">
        <v>1.1755495785460299</v>
      </c>
      <c r="D234" s="8">
        <v>2.0972859866247401E-4</v>
      </c>
    </row>
    <row r="235" spans="1:4" x14ac:dyDescent="0.2">
      <c r="A235" s="8" t="s">
        <v>1756</v>
      </c>
      <c r="B235" s="8" t="s">
        <v>1757</v>
      </c>
      <c r="C235" s="8">
        <v>-1.24516606895078</v>
      </c>
      <c r="D235" s="8">
        <v>1.48999258046005E-2</v>
      </c>
    </row>
    <row r="236" spans="1:4" x14ac:dyDescent="0.2">
      <c r="A236" s="8" t="s">
        <v>1758</v>
      </c>
      <c r="B236" s="8" t="s">
        <v>1759</v>
      </c>
      <c r="C236" s="8">
        <v>-1.6341092353014901</v>
      </c>
      <c r="D236" s="8">
        <v>1.91566278524356E-2</v>
      </c>
    </row>
    <row r="237" spans="1:4" x14ac:dyDescent="0.2">
      <c r="A237" s="8" t="s">
        <v>1760</v>
      </c>
      <c r="B237" s="8" t="s">
        <v>1761</v>
      </c>
      <c r="C237" s="8">
        <v>-1.03394319744106</v>
      </c>
      <c r="D237" s="8">
        <v>4.0126965946530001E-2</v>
      </c>
    </row>
    <row r="238" spans="1:4" x14ac:dyDescent="0.2">
      <c r="A238" s="8" t="s">
        <v>1762</v>
      </c>
      <c r="B238" s="8" t="s">
        <v>1763</v>
      </c>
      <c r="C238" s="8">
        <v>-2.3416648007525098</v>
      </c>
      <c r="D238" s="8">
        <v>2.51107851981138E-2</v>
      </c>
    </row>
    <row r="239" spans="1:4" x14ac:dyDescent="0.2">
      <c r="A239" s="8" t="s">
        <v>1764</v>
      </c>
      <c r="B239" s="8" t="s">
        <v>1765</v>
      </c>
      <c r="C239" s="8">
        <v>-1.7607804395422499</v>
      </c>
      <c r="D239" s="8">
        <v>2.2164121852376599E-3</v>
      </c>
    </row>
    <row r="240" spans="1:4" x14ac:dyDescent="0.2">
      <c r="A240" s="8" t="s">
        <v>1766</v>
      </c>
      <c r="B240" s="8" t="s">
        <v>1767</v>
      </c>
      <c r="C240" s="8">
        <v>-2.1209167793284598</v>
      </c>
      <c r="D240" s="8">
        <v>3.6569167484511299E-2</v>
      </c>
    </row>
    <row r="241" spans="1:4" x14ac:dyDescent="0.2">
      <c r="A241" s="8" t="s">
        <v>1768</v>
      </c>
      <c r="B241" s="8" t="s">
        <v>1769</v>
      </c>
      <c r="C241" s="8">
        <v>-1.1930936406671</v>
      </c>
      <c r="D241" s="8">
        <v>2.9753762399827799E-2</v>
      </c>
    </row>
    <row r="242" spans="1:4" x14ac:dyDescent="0.2">
      <c r="A242" s="8" t="s">
        <v>1770</v>
      </c>
      <c r="B242" s="8" t="s">
        <v>1771</v>
      </c>
      <c r="C242" s="8">
        <v>1.2768221125338599</v>
      </c>
      <c r="D242" s="8">
        <v>3.2687295554208802E-2</v>
      </c>
    </row>
    <row r="243" spans="1:4" x14ac:dyDescent="0.2">
      <c r="A243" s="8" t="s">
        <v>1772</v>
      </c>
      <c r="B243" s="8" t="s">
        <v>1773</v>
      </c>
      <c r="C243" s="8">
        <v>1.2827658122523</v>
      </c>
      <c r="D243" s="8">
        <v>1.51816742249306E-4</v>
      </c>
    </row>
    <row r="244" spans="1:4" x14ac:dyDescent="0.2">
      <c r="A244" s="8" t="s">
        <v>1774</v>
      </c>
      <c r="B244" s="8" t="s">
        <v>1775</v>
      </c>
      <c r="C244" s="8">
        <v>1.26581898954313</v>
      </c>
      <c r="D244" s="8">
        <v>3.1404190309107398E-2</v>
      </c>
    </row>
    <row r="245" spans="1:4" x14ac:dyDescent="0.2">
      <c r="A245" s="8" t="s">
        <v>1776</v>
      </c>
      <c r="B245" s="8" t="s">
        <v>1777</v>
      </c>
      <c r="C245" s="8">
        <v>1.0680552470133799</v>
      </c>
      <c r="D245" s="8">
        <v>1.03725880585279E-2</v>
      </c>
    </row>
    <row r="246" spans="1:4" x14ac:dyDescent="0.2">
      <c r="A246" s="8" t="s">
        <v>1778</v>
      </c>
      <c r="B246" s="8" t="s">
        <v>1779</v>
      </c>
      <c r="C246" s="8">
        <v>1.1339376459518</v>
      </c>
      <c r="D246" s="8">
        <v>3.6051701988269201E-2</v>
      </c>
    </row>
    <row r="247" spans="1:4" x14ac:dyDescent="0.2">
      <c r="A247" s="8" t="s">
        <v>1780</v>
      </c>
      <c r="B247" s="8" t="s">
        <v>1781</v>
      </c>
      <c r="C247" s="8">
        <v>-1.2338917390922399</v>
      </c>
      <c r="D247" s="8">
        <v>1.5045138822110501E-2</v>
      </c>
    </row>
    <row r="248" spans="1:4" x14ac:dyDescent="0.2">
      <c r="A248" s="8" t="s">
        <v>1782</v>
      </c>
      <c r="B248" s="8" t="s">
        <v>1783</v>
      </c>
      <c r="C248" s="8">
        <v>-1.17952518876257</v>
      </c>
      <c r="D248" s="8">
        <v>1.6022897377804601E-2</v>
      </c>
    </row>
    <row r="249" spans="1:4" x14ac:dyDescent="0.2">
      <c r="A249" s="8" t="s">
        <v>1784</v>
      </c>
      <c r="B249" s="8" t="s">
        <v>1785</v>
      </c>
      <c r="C249" s="8">
        <v>2.07148477004205</v>
      </c>
      <c r="D249" s="8">
        <v>1.9044787345858499E-2</v>
      </c>
    </row>
    <row r="250" spans="1:4" x14ac:dyDescent="0.2">
      <c r="A250" s="8" t="s">
        <v>1786</v>
      </c>
      <c r="B250" s="8" t="s">
        <v>1787</v>
      </c>
      <c r="C250" s="8">
        <v>1.1938429864529301</v>
      </c>
      <c r="D250" s="8">
        <v>2.2175612057923899E-2</v>
      </c>
    </row>
    <row r="251" spans="1:4" x14ac:dyDescent="0.2">
      <c r="A251" s="8" t="s">
        <v>1788</v>
      </c>
      <c r="B251" s="8" t="s">
        <v>1789</v>
      </c>
      <c r="C251" s="8">
        <v>1.0068768125624299</v>
      </c>
      <c r="D251" s="8">
        <v>2.5927247884649299E-3</v>
      </c>
    </row>
    <row r="252" spans="1:4" x14ac:dyDescent="0.2">
      <c r="A252" s="8" t="s">
        <v>1790</v>
      </c>
      <c r="B252" s="8" t="s">
        <v>1791</v>
      </c>
      <c r="C252" s="8">
        <v>1.0125733781550901</v>
      </c>
      <c r="D252" s="8">
        <v>1.98554707367602E-3</v>
      </c>
    </row>
    <row r="253" spans="1:4" x14ac:dyDescent="0.2">
      <c r="A253" s="8" t="s">
        <v>1792</v>
      </c>
      <c r="B253" s="8" t="s">
        <v>1793</v>
      </c>
      <c r="C253" s="8">
        <v>-1.1721016292334601</v>
      </c>
      <c r="D253" s="8">
        <v>1.94750107007833E-3</v>
      </c>
    </row>
    <row r="254" spans="1:4" x14ac:dyDescent="0.2">
      <c r="A254" s="8" t="s">
        <v>1794</v>
      </c>
      <c r="B254" s="8" t="s">
        <v>1795</v>
      </c>
      <c r="C254" s="8">
        <v>1.0845544465605701</v>
      </c>
      <c r="D254" s="8">
        <v>7.8421588472583192E-3</v>
      </c>
    </row>
    <row r="255" spans="1:4" x14ac:dyDescent="0.2">
      <c r="A255" s="8" t="s">
        <v>1796</v>
      </c>
      <c r="B255" s="8" t="s">
        <v>1797</v>
      </c>
      <c r="C255" s="8">
        <v>-1.0951774869837101</v>
      </c>
      <c r="D255" s="8">
        <v>5.6329416722665998E-3</v>
      </c>
    </row>
    <row r="256" spans="1:4" x14ac:dyDescent="0.2">
      <c r="A256" s="8" t="s">
        <v>1798</v>
      </c>
      <c r="B256" s="8" t="s">
        <v>1799</v>
      </c>
      <c r="C256" s="8">
        <v>1.2692157855942301</v>
      </c>
      <c r="D256" s="8">
        <v>4.3976674569702098E-2</v>
      </c>
    </row>
    <row r="257" spans="1:4" x14ac:dyDescent="0.2">
      <c r="A257" s="8" t="s">
        <v>1800</v>
      </c>
      <c r="B257" s="8" t="s">
        <v>1801</v>
      </c>
      <c r="C257" s="8">
        <v>-1.08505234606593</v>
      </c>
      <c r="D257" s="8">
        <v>3.9212021324951898E-2</v>
      </c>
    </row>
    <row r="258" spans="1:4" x14ac:dyDescent="0.2">
      <c r="A258" s="8" t="s">
        <v>1802</v>
      </c>
      <c r="B258" s="8" t="s">
        <v>1803</v>
      </c>
      <c r="C258" s="8">
        <v>1.3419030995135099</v>
      </c>
      <c r="D258" s="8">
        <v>2.0715591215066699E-2</v>
      </c>
    </row>
    <row r="259" spans="1:4" x14ac:dyDescent="0.2">
      <c r="A259" s="8" t="s">
        <v>1804</v>
      </c>
      <c r="B259" s="8" t="s">
        <v>1805</v>
      </c>
      <c r="C259" s="8">
        <v>2.6979334034814499</v>
      </c>
      <c r="D259" s="8">
        <v>2.5458965836577399E-3</v>
      </c>
    </row>
    <row r="260" spans="1:4" x14ac:dyDescent="0.2">
      <c r="A260" s="8" t="s">
        <v>1806</v>
      </c>
      <c r="B260" s="8" t="s">
        <v>1807</v>
      </c>
      <c r="C260" s="8">
        <v>1.08957878183748</v>
      </c>
      <c r="D260" s="8">
        <v>1.4331277760501001E-2</v>
      </c>
    </row>
    <row r="261" spans="1:4" x14ac:dyDescent="0.2">
      <c r="A261" s="8" t="s">
        <v>1808</v>
      </c>
      <c r="B261" s="8" t="s">
        <v>1809</v>
      </c>
      <c r="C261" s="8">
        <v>-1.2630687636382201</v>
      </c>
      <c r="D261" s="8">
        <v>3.8771545052434498E-3</v>
      </c>
    </row>
    <row r="262" spans="1:4" x14ac:dyDescent="0.2">
      <c r="A262" s="8" t="s">
        <v>1810</v>
      </c>
      <c r="B262" s="8" t="s">
        <v>1811</v>
      </c>
      <c r="C262" s="8">
        <v>2.2703446963233498</v>
      </c>
      <c r="D262" s="8">
        <v>2.01316106608251E-3</v>
      </c>
    </row>
    <row r="263" spans="1:4" x14ac:dyDescent="0.2">
      <c r="A263" s="8" t="s">
        <v>1812</v>
      </c>
      <c r="B263" s="8" t="s">
        <v>1813</v>
      </c>
      <c r="C263" s="8">
        <v>1.9000308459739901</v>
      </c>
      <c r="D263" s="8">
        <v>8.1112060797441097E-4</v>
      </c>
    </row>
    <row r="264" spans="1:4" x14ac:dyDescent="0.2">
      <c r="A264" s="8" t="s">
        <v>1814</v>
      </c>
      <c r="B264" s="8" t="s">
        <v>1815</v>
      </c>
      <c r="C264" s="8">
        <v>1.3191958899268099</v>
      </c>
      <c r="D264" s="8">
        <v>1.46458369337622E-2</v>
      </c>
    </row>
    <row r="265" spans="1:4" x14ac:dyDescent="0.2">
      <c r="A265" s="8" t="s">
        <v>1816</v>
      </c>
      <c r="B265" s="8" t="s">
        <v>1817</v>
      </c>
      <c r="C265" s="8">
        <v>1.4231048954602099</v>
      </c>
      <c r="D265" s="8">
        <v>4.2390601311201898E-2</v>
      </c>
    </row>
    <row r="266" spans="1:4" x14ac:dyDescent="0.2">
      <c r="A266" s="8" t="s">
        <v>1818</v>
      </c>
      <c r="B266" s="8" t="s">
        <v>1819</v>
      </c>
      <c r="C266" s="8">
        <v>-2.5052647434289099</v>
      </c>
      <c r="D266" s="8">
        <v>8.7990234269237199E-3</v>
      </c>
    </row>
    <row r="267" spans="1:4" x14ac:dyDescent="0.2">
      <c r="A267" s="8" t="s">
        <v>1820</v>
      </c>
      <c r="B267" s="8" t="s">
        <v>1821</v>
      </c>
      <c r="C267" s="8">
        <v>1.19663755901191</v>
      </c>
      <c r="D267" s="8">
        <v>2.0878619875699399E-2</v>
      </c>
    </row>
    <row r="268" spans="1:4" x14ac:dyDescent="0.2">
      <c r="A268" s="8" t="s">
        <v>1822</v>
      </c>
      <c r="B268" s="8" t="s">
        <v>1823</v>
      </c>
      <c r="C268" s="8">
        <v>1.6399816881337601</v>
      </c>
      <c r="D268" s="8">
        <v>1.24831498689513E-2</v>
      </c>
    </row>
    <row r="269" spans="1:4" x14ac:dyDescent="0.2">
      <c r="A269" s="8" t="s">
        <v>1824</v>
      </c>
      <c r="B269" s="8" t="s">
        <v>1825</v>
      </c>
      <c r="C269" s="8">
        <v>-2.7237130471487001</v>
      </c>
      <c r="D269" s="8">
        <v>1.2940871442963801E-2</v>
      </c>
    </row>
    <row r="270" spans="1:4" x14ac:dyDescent="0.2">
      <c r="A270" s="8" t="s">
        <v>1826</v>
      </c>
      <c r="B270" s="8" t="s">
        <v>1827</v>
      </c>
      <c r="C270" s="8">
        <v>-1.67066436622477</v>
      </c>
      <c r="D270" s="8">
        <v>2.5657719566411501E-3</v>
      </c>
    </row>
    <row r="271" spans="1:4" x14ac:dyDescent="0.2">
      <c r="A271" s="8" t="s">
        <v>1828</v>
      </c>
      <c r="B271" s="8" t="s">
        <v>1829</v>
      </c>
      <c r="C271" s="8">
        <v>-1.1647446211286001</v>
      </c>
      <c r="D271" s="8">
        <v>5.33674770485744E-3</v>
      </c>
    </row>
    <row r="272" spans="1:4" x14ac:dyDescent="0.2">
      <c r="A272" s="8" t="s">
        <v>1830</v>
      </c>
      <c r="B272" s="8" t="s">
        <v>1831</v>
      </c>
      <c r="C272" s="8">
        <v>-2.14972941345999</v>
      </c>
      <c r="D272" s="8">
        <v>4.0450067503482103E-2</v>
      </c>
    </row>
    <row r="273" spans="1:4" x14ac:dyDescent="0.2">
      <c r="A273" s="8" t="s">
        <v>1832</v>
      </c>
      <c r="B273" s="8" t="s">
        <v>1833</v>
      </c>
      <c r="C273" s="8">
        <v>-1.12564410061693</v>
      </c>
      <c r="D273" s="8">
        <v>1.9129534033434899E-3</v>
      </c>
    </row>
    <row r="274" spans="1:4" x14ac:dyDescent="0.2">
      <c r="A274" s="8" t="s">
        <v>1834</v>
      </c>
      <c r="B274" s="8" t="s">
        <v>1835</v>
      </c>
      <c r="C274" s="8">
        <v>-1.1101251297725101</v>
      </c>
      <c r="D274" s="8">
        <v>1.2130817807063E-2</v>
      </c>
    </row>
    <row r="275" spans="1:4" x14ac:dyDescent="0.2">
      <c r="A275" s="8" t="s">
        <v>1836</v>
      </c>
      <c r="B275" s="8" t="s">
        <v>1837</v>
      </c>
      <c r="C275" s="8">
        <v>1.1495782170919999</v>
      </c>
      <c r="D275" s="8">
        <v>9.5243320126465105E-3</v>
      </c>
    </row>
    <row r="276" spans="1:4" x14ac:dyDescent="0.2">
      <c r="A276" s="8" t="s">
        <v>1838</v>
      </c>
      <c r="B276" s="8" t="s">
        <v>1839</v>
      </c>
      <c r="C276" s="8">
        <v>-1.0259331074597</v>
      </c>
      <c r="D276" s="8">
        <v>1.8837206694294398E-2</v>
      </c>
    </row>
    <row r="277" spans="1:4" x14ac:dyDescent="0.2">
      <c r="A277" s="8" t="s">
        <v>1840</v>
      </c>
      <c r="B277" s="8" t="s">
        <v>1841</v>
      </c>
      <c r="C277" s="8">
        <v>-1.4562010774680401</v>
      </c>
      <c r="D277" s="8">
        <v>3.3517404132445E-2</v>
      </c>
    </row>
    <row r="278" spans="1:4" x14ac:dyDescent="0.2">
      <c r="A278" s="8" t="s">
        <v>1842</v>
      </c>
      <c r="B278" s="8" t="s">
        <v>1843</v>
      </c>
      <c r="C278" s="8">
        <v>-1.7351592646331899</v>
      </c>
      <c r="D278" s="8">
        <v>4.2865364449233301E-4</v>
      </c>
    </row>
    <row r="279" spans="1:4" x14ac:dyDescent="0.2">
      <c r="A279" s="8" t="s">
        <v>1844</v>
      </c>
      <c r="B279" s="8" t="s">
        <v>1845</v>
      </c>
      <c r="C279" s="8">
        <v>2.4105155527503599</v>
      </c>
      <c r="D279" s="8">
        <v>3.6814818815447698E-3</v>
      </c>
    </row>
    <row r="280" spans="1:4" x14ac:dyDescent="0.2">
      <c r="A280" s="8" t="s">
        <v>1846</v>
      </c>
      <c r="B280" s="8" t="s">
        <v>1847</v>
      </c>
      <c r="C280" s="8">
        <v>1.31649246757282</v>
      </c>
      <c r="D280" s="8">
        <v>1.5677257537342899E-2</v>
      </c>
    </row>
    <row r="281" spans="1:4" x14ac:dyDescent="0.2">
      <c r="A281" s="8" t="s">
        <v>1848</v>
      </c>
      <c r="B281" s="8" t="s">
        <v>1849</v>
      </c>
      <c r="C281" s="8">
        <v>-1.51476317198312</v>
      </c>
      <c r="D281" s="8">
        <v>3.4689230939305503E-2</v>
      </c>
    </row>
    <row r="282" spans="1:4" x14ac:dyDescent="0.2">
      <c r="A282" s="8" t="s">
        <v>1850</v>
      </c>
      <c r="B282" s="8" t="s">
        <v>1851</v>
      </c>
      <c r="C282" s="8">
        <v>1.4382907984239699</v>
      </c>
      <c r="D282" s="8">
        <v>6.7905132607201397E-3</v>
      </c>
    </row>
    <row r="283" spans="1:4" x14ac:dyDescent="0.2">
      <c r="A283" s="8" t="s">
        <v>1852</v>
      </c>
      <c r="B283" s="8" t="s">
        <v>1853</v>
      </c>
      <c r="C283" s="8">
        <v>2.46257431133817</v>
      </c>
      <c r="D283" s="8">
        <v>1.7640679799079201E-4</v>
      </c>
    </row>
    <row r="284" spans="1:4" x14ac:dyDescent="0.2">
      <c r="A284" s="8" t="s">
        <v>1854</v>
      </c>
      <c r="B284" s="8" t="s">
        <v>1855</v>
      </c>
      <c r="C284" s="8">
        <v>-2.3305814558262798</v>
      </c>
      <c r="D284" s="8">
        <v>4.5581306851713903E-2</v>
      </c>
    </row>
    <row r="285" spans="1:4" x14ac:dyDescent="0.2">
      <c r="A285" s="8" t="s">
        <v>1856</v>
      </c>
      <c r="B285" s="8" t="s">
        <v>1857</v>
      </c>
      <c r="C285" s="8">
        <v>-3.1461802984196399</v>
      </c>
      <c r="D285" s="8">
        <v>1.7065362027442899E-2</v>
      </c>
    </row>
    <row r="286" spans="1:4" x14ac:dyDescent="0.2">
      <c r="A286" s="8" t="s">
        <v>1858</v>
      </c>
      <c r="B286" s="8" t="s">
        <v>1859</v>
      </c>
      <c r="C286" s="8">
        <v>1.7513008122514</v>
      </c>
      <c r="D286" s="8">
        <v>1.0709488710798401E-2</v>
      </c>
    </row>
    <row r="287" spans="1:4" x14ac:dyDescent="0.2">
      <c r="A287" s="8" t="s">
        <v>1860</v>
      </c>
      <c r="B287" s="8" t="s">
        <v>1861</v>
      </c>
      <c r="C287" s="8">
        <v>-3.16702605879239</v>
      </c>
      <c r="D287" s="8">
        <v>2.7549366426576901E-2</v>
      </c>
    </row>
    <row r="288" spans="1:4" x14ac:dyDescent="0.2">
      <c r="A288" s="8" t="s">
        <v>1862</v>
      </c>
      <c r="B288" s="8" t="s">
        <v>1863</v>
      </c>
      <c r="C288" s="8">
        <v>-1.3479342260509499</v>
      </c>
      <c r="D288" s="8">
        <v>2.2967481815912298E-3</v>
      </c>
    </row>
    <row r="289" spans="1:4" x14ac:dyDescent="0.2">
      <c r="A289" s="8" t="s">
        <v>1864</v>
      </c>
      <c r="B289" s="8" t="s">
        <v>1865</v>
      </c>
      <c r="C289" s="8">
        <v>-1.1741857075518201</v>
      </c>
      <c r="D289" s="8">
        <v>1.38287306820522E-2</v>
      </c>
    </row>
    <row r="290" spans="1:4" x14ac:dyDescent="0.2">
      <c r="A290" s="8" t="s">
        <v>1866</v>
      </c>
      <c r="B290" s="8" t="s">
        <v>1867</v>
      </c>
      <c r="C290" s="8">
        <v>-1.7444464274717499</v>
      </c>
      <c r="D290" s="8">
        <v>4.9373155698888803E-3</v>
      </c>
    </row>
    <row r="291" spans="1:4" x14ac:dyDescent="0.2">
      <c r="A291" s="8" t="s">
        <v>1868</v>
      </c>
      <c r="B291" s="8" t="s">
        <v>1869</v>
      </c>
      <c r="C291" s="8">
        <v>-1.1033281486930699</v>
      </c>
      <c r="D291" s="8">
        <v>7.8605196796654297E-3</v>
      </c>
    </row>
    <row r="292" spans="1:4" x14ac:dyDescent="0.2">
      <c r="A292" s="8" t="s">
        <v>1870</v>
      </c>
      <c r="B292" s="8" t="s">
        <v>1871</v>
      </c>
      <c r="C292" s="8">
        <v>1.9115344909099901</v>
      </c>
      <c r="D292" s="8">
        <v>2.2519243471271601E-3</v>
      </c>
    </row>
    <row r="293" spans="1:4" x14ac:dyDescent="0.2">
      <c r="A293" s="8" t="s">
        <v>1872</v>
      </c>
      <c r="B293" s="8" t="s">
        <v>1873</v>
      </c>
      <c r="C293" s="8">
        <v>-1.1231371497634</v>
      </c>
      <c r="D293" s="8">
        <v>1.55237365836958E-2</v>
      </c>
    </row>
    <row r="294" spans="1:4" x14ac:dyDescent="0.2">
      <c r="A294" s="8" t="s">
        <v>1874</v>
      </c>
      <c r="B294" s="8" t="s">
        <v>1875</v>
      </c>
      <c r="C294" s="8">
        <v>-1.9082381190845801</v>
      </c>
      <c r="D294" s="8">
        <v>2.80918809238247E-2</v>
      </c>
    </row>
    <row r="295" spans="1:4" x14ac:dyDescent="0.2">
      <c r="A295" s="8" t="s">
        <v>1876</v>
      </c>
      <c r="B295" s="8" t="s">
        <v>1877</v>
      </c>
      <c r="C295" s="8">
        <v>2.3212209295358801</v>
      </c>
      <c r="D295" s="8">
        <v>2.6316974609342E-2</v>
      </c>
    </row>
    <row r="296" spans="1:4" x14ac:dyDescent="0.2">
      <c r="A296" s="8" t="s">
        <v>1878</v>
      </c>
      <c r="B296" s="8" t="s">
        <v>1879</v>
      </c>
      <c r="C296" s="8">
        <v>-1.6095589395699901</v>
      </c>
      <c r="D296" s="8">
        <v>2.5732445018210499E-2</v>
      </c>
    </row>
    <row r="297" spans="1:4" x14ac:dyDescent="0.2">
      <c r="A297" s="8" t="s">
        <v>1880</v>
      </c>
      <c r="B297" s="8" t="s">
        <v>1881</v>
      </c>
      <c r="C297" s="8">
        <v>1.0095308061106401</v>
      </c>
      <c r="D297" s="8">
        <v>4.5480431374004697E-2</v>
      </c>
    </row>
    <row r="298" spans="1:4" x14ac:dyDescent="0.2">
      <c r="A298" s="8" t="s">
        <v>1882</v>
      </c>
      <c r="B298" s="8" t="s">
        <v>1883</v>
      </c>
      <c r="C298" s="8">
        <v>1.6886974290450301</v>
      </c>
      <c r="D298" s="8">
        <v>1.66488966562443E-3</v>
      </c>
    </row>
    <row r="299" spans="1:4" x14ac:dyDescent="0.2">
      <c r="A299" s="8" t="s">
        <v>1884</v>
      </c>
      <c r="B299" s="8" t="s">
        <v>1885</v>
      </c>
      <c r="C299" s="8">
        <v>-1.6924353041656499</v>
      </c>
      <c r="D299" s="8">
        <v>2.30504168180591E-2</v>
      </c>
    </row>
    <row r="300" spans="1:4" x14ac:dyDescent="0.2">
      <c r="A300" s="8" t="s">
        <v>1886</v>
      </c>
      <c r="B300" s="8" t="s">
        <v>1887</v>
      </c>
      <c r="C300" s="8">
        <v>-1.1829211077888899</v>
      </c>
      <c r="D300" s="8">
        <v>2.0472040859388298E-3</v>
      </c>
    </row>
    <row r="301" spans="1:4" x14ac:dyDescent="0.2">
      <c r="A301" s="8" t="s">
        <v>1888</v>
      </c>
      <c r="B301" s="8" t="s">
        <v>1889</v>
      </c>
      <c r="C301" s="8">
        <v>1.27290864872184</v>
      </c>
      <c r="D301" s="8">
        <v>1.4096899519565E-3</v>
      </c>
    </row>
    <row r="302" spans="1:4" x14ac:dyDescent="0.2">
      <c r="A302" s="8" t="s">
        <v>1890</v>
      </c>
      <c r="B302" s="8" t="s">
        <v>1891</v>
      </c>
      <c r="C302" s="8">
        <v>-1.9831268389640599</v>
      </c>
      <c r="D302" s="8">
        <v>4.3865579339994201E-2</v>
      </c>
    </row>
    <row r="303" spans="1:4" x14ac:dyDescent="0.2">
      <c r="A303" s="8" t="s">
        <v>1892</v>
      </c>
      <c r="B303" s="8" t="s">
        <v>1893</v>
      </c>
      <c r="C303" s="8">
        <v>-2.2126482830755201</v>
      </c>
      <c r="D303" s="8">
        <v>6.1427819325630397E-3</v>
      </c>
    </row>
    <row r="304" spans="1:4" x14ac:dyDescent="0.2">
      <c r="A304" s="8" t="s">
        <v>1894</v>
      </c>
      <c r="B304" s="8" t="s">
        <v>1895</v>
      </c>
      <c r="C304" s="8">
        <v>4.7685921380802796</v>
      </c>
      <c r="D304" s="9">
        <v>4.7155287562786702E-6</v>
      </c>
    </row>
    <row r="305" spans="1:4" x14ac:dyDescent="0.2">
      <c r="A305" s="8" t="s">
        <v>1896</v>
      </c>
      <c r="B305" s="8" t="s">
        <v>1897</v>
      </c>
      <c r="C305" s="8">
        <v>1.0015551336128601</v>
      </c>
      <c r="D305" s="8">
        <v>7.0015078677151705E-4</v>
      </c>
    </row>
    <row r="306" spans="1:4" x14ac:dyDescent="0.2">
      <c r="A306" s="8" t="s">
        <v>1898</v>
      </c>
      <c r="B306" s="8" t="s">
        <v>1899</v>
      </c>
      <c r="C306" s="8">
        <v>1.03005203014535</v>
      </c>
      <c r="D306" s="8">
        <v>9.5964992484346805E-3</v>
      </c>
    </row>
    <row r="307" spans="1:4" x14ac:dyDescent="0.2">
      <c r="A307" s="8" t="s">
        <v>1900</v>
      </c>
      <c r="B307" s="8" t="s">
        <v>1901</v>
      </c>
      <c r="C307" s="8">
        <v>-1.7848759844630899</v>
      </c>
      <c r="D307" s="8">
        <v>1.9864960160210499E-2</v>
      </c>
    </row>
    <row r="308" spans="1:4" x14ac:dyDescent="0.2">
      <c r="A308" s="8" t="s">
        <v>1902</v>
      </c>
      <c r="B308" s="8" t="s">
        <v>1903</v>
      </c>
      <c r="C308" s="8">
        <v>-2.0104127200044899</v>
      </c>
      <c r="D308" s="8">
        <v>4.8042907608530201E-2</v>
      </c>
    </row>
    <row r="309" spans="1:4" x14ac:dyDescent="0.2">
      <c r="A309" s="8" t="s">
        <v>1904</v>
      </c>
      <c r="B309" s="8" t="s">
        <v>1905</v>
      </c>
      <c r="C309" s="8">
        <v>1.7941897543352701</v>
      </c>
      <c r="D309" s="8">
        <v>4.9652049931741701E-2</v>
      </c>
    </row>
    <row r="310" spans="1:4" x14ac:dyDescent="0.2">
      <c r="A310" s="8" t="s">
        <v>1906</v>
      </c>
      <c r="B310" s="8" t="s">
        <v>1907</v>
      </c>
      <c r="C310" s="8">
        <v>1.2782142888753201</v>
      </c>
      <c r="D310" s="8">
        <v>3.2625684361248297E-2</v>
      </c>
    </row>
    <row r="311" spans="1:4" x14ac:dyDescent="0.2">
      <c r="A311" s="8" t="s">
        <v>1908</v>
      </c>
      <c r="B311" s="8" t="s">
        <v>1909</v>
      </c>
      <c r="C311" s="8">
        <v>1.5018564639416301</v>
      </c>
      <c r="D311" s="8">
        <v>2.40486488194128E-3</v>
      </c>
    </row>
    <row r="312" spans="1:4" x14ac:dyDescent="0.2">
      <c r="A312" s="8" t="s">
        <v>1910</v>
      </c>
      <c r="B312" s="8" t="s">
        <v>1911</v>
      </c>
      <c r="C312" s="8">
        <v>-1.89291915180939</v>
      </c>
      <c r="D312" s="8">
        <v>2.5250879945441999E-2</v>
      </c>
    </row>
    <row r="313" spans="1:4" x14ac:dyDescent="0.2">
      <c r="A313" s="8" t="s">
        <v>1912</v>
      </c>
      <c r="B313" s="8" t="s">
        <v>1913</v>
      </c>
      <c r="C313" s="8">
        <v>2.7745502882431601</v>
      </c>
      <c r="D313" s="8">
        <v>2.1562301068392999E-2</v>
      </c>
    </row>
    <row r="314" spans="1:4" x14ac:dyDescent="0.2">
      <c r="A314" s="8" t="s">
        <v>1914</v>
      </c>
      <c r="B314" s="8" t="s">
        <v>1915</v>
      </c>
      <c r="C314" s="8">
        <v>-1.3536029426073699</v>
      </c>
      <c r="D314" s="8">
        <v>4.2487552912360498E-2</v>
      </c>
    </row>
    <row r="315" spans="1:4" x14ac:dyDescent="0.2">
      <c r="A315" s="8" t="s">
        <v>1916</v>
      </c>
      <c r="B315" s="8" t="s">
        <v>1917</v>
      </c>
      <c r="C315" s="8">
        <v>1.18720829260057</v>
      </c>
      <c r="D315" s="8">
        <v>7.3875607525788003E-4</v>
      </c>
    </row>
    <row r="316" spans="1:4" x14ac:dyDescent="0.2">
      <c r="A316" s="8" t="s">
        <v>1918</v>
      </c>
      <c r="B316" s="8" t="s">
        <v>1919</v>
      </c>
      <c r="C316" s="8">
        <v>-1.42220692289928</v>
      </c>
      <c r="D316" s="8">
        <v>4.41276931712377E-2</v>
      </c>
    </row>
    <row r="317" spans="1:4" x14ac:dyDescent="0.2">
      <c r="A317" s="8" t="s">
        <v>1920</v>
      </c>
      <c r="B317" s="8" t="s">
        <v>1921</v>
      </c>
      <c r="C317" s="8">
        <v>-3.2429457735671101</v>
      </c>
      <c r="D317" s="8">
        <v>1.8614696601159001E-2</v>
      </c>
    </row>
    <row r="318" spans="1:4" x14ac:dyDescent="0.2">
      <c r="A318" s="8" t="s">
        <v>1922</v>
      </c>
      <c r="B318" s="8" t="s">
        <v>1923</v>
      </c>
      <c r="C318" s="8">
        <v>-1.5833293929441601</v>
      </c>
      <c r="D318" s="8">
        <v>6.0659754096441497E-3</v>
      </c>
    </row>
    <row r="319" spans="1:4" x14ac:dyDescent="0.2">
      <c r="A319" s="8" t="s">
        <v>1924</v>
      </c>
      <c r="B319" s="8" t="s">
        <v>1925</v>
      </c>
      <c r="C319" s="8">
        <v>1.04254823052255</v>
      </c>
      <c r="D319" s="8">
        <v>2.2209240623154599E-2</v>
      </c>
    </row>
    <row r="320" spans="1:4" x14ac:dyDescent="0.2">
      <c r="A320" s="8" t="s">
        <v>1926</v>
      </c>
      <c r="B320" s="8" t="s">
        <v>1927</v>
      </c>
      <c r="C320" s="8">
        <v>-1.4753605394288301</v>
      </c>
      <c r="D320" s="8">
        <v>4.19539525164766E-2</v>
      </c>
    </row>
    <row r="321" spans="1:4" x14ac:dyDescent="0.2">
      <c r="A321" s="8" t="s">
        <v>1928</v>
      </c>
      <c r="B321" s="8" t="s">
        <v>1929</v>
      </c>
      <c r="C321" s="8">
        <v>2.5064299398969498</v>
      </c>
      <c r="D321" s="8">
        <v>2.2270881292195201E-4</v>
      </c>
    </row>
    <row r="322" spans="1:4" x14ac:dyDescent="0.2">
      <c r="A322" s="8" t="s">
        <v>1930</v>
      </c>
      <c r="B322" s="8" t="s">
        <v>1931</v>
      </c>
      <c r="C322" s="8">
        <v>2.5849393603175601</v>
      </c>
      <c r="D322" s="8">
        <v>3.7787229435189699E-4</v>
      </c>
    </row>
    <row r="323" spans="1:4" x14ac:dyDescent="0.2">
      <c r="A323" s="8" t="s">
        <v>1932</v>
      </c>
      <c r="B323" s="8" t="s">
        <v>1933</v>
      </c>
      <c r="C323" s="8">
        <v>1.43009069175981</v>
      </c>
      <c r="D323" s="8">
        <v>3.2666037212075602E-2</v>
      </c>
    </row>
    <row r="324" spans="1:4" x14ac:dyDescent="0.2">
      <c r="A324" s="8" t="s">
        <v>1934</v>
      </c>
      <c r="B324" s="8" t="s">
        <v>1935</v>
      </c>
      <c r="C324" s="8">
        <v>-1.5294623478097</v>
      </c>
      <c r="D324" s="8">
        <v>3.6852227284620599E-2</v>
      </c>
    </row>
    <row r="325" spans="1:4" x14ac:dyDescent="0.2">
      <c r="A325" s="8" t="s">
        <v>1936</v>
      </c>
      <c r="B325" s="8" t="s">
        <v>1937</v>
      </c>
      <c r="C325" s="8">
        <v>-2.40316727300922</v>
      </c>
      <c r="D325" s="8">
        <v>2.8604312636518199E-2</v>
      </c>
    </row>
    <row r="326" spans="1:4" x14ac:dyDescent="0.2">
      <c r="A326" s="8" t="s">
        <v>1938</v>
      </c>
      <c r="B326" s="8" t="s">
        <v>1939</v>
      </c>
      <c r="C326" s="8">
        <v>-2.0702815474904299</v>
      </c>
      <c r="D326" s="8">
        <v>4.1825263709272101E-4</v>
      </c>
    </row>
    <row r="327" spans="1:4" x14ac:dyDescent="0.2">
      <c r="A327" s="8" t="s">
        <v>1940</v>
      </c>
      <c r="B327" s="8" t="s">
        <v>1941</v>
      </c>
      <c r="C327" s="8">
        <v>-1.7296384423551101</v>
      </c>
      <c r="D327" s="8">
        <v>7.2488581757326502E-3</v>
      </c>
    </row>
    <row r="328" spans="1:4" x14ac:dyDescent="0.2">
      <c r="A328" s="8" t="s">
        <v>1942</v>
      </c>
      <c r="B328" s="8" t="s">
        <v>1943</v>
      </c>
      <c r="C328" s="8">
        <v>1.4239378819391499</v>
      </c>
      <c r="D328" s="8">
        <v>2.06228213862854E-3</v>
      </c>
    </row>
    <row r="329" spans="1:4" x14ac:dyDescent="0.2">
      <c r="A329" s="8" t="s">
        <v>1944</v>
      </c>
      <c r="B329" s="8" t="s">
        <v>1945</v>
      </c>
      <c r="C329" s="8">
        <v>1.5914679420478799</v>
      </c>
      <c r="D329" s="8">
        <v>5.7035338075074197E-3</v>
      </c>
    </row>
    <row r="330" spans="1:4" x14ac:dyDescent="0.2">
      <c r="A330" s="8" t="s">
        <v>1946</v>
      </c>
      <c r="B330" s="8" t="s">
        <v>1947</v>
      </c>
      <c r="C330" s="8">
        <v>-3.0507686430799601</v>
      </c>
      <c r="D330" s="8">
        <v>1.7176005666943599E-2</v>
      </c>
    </row>
    <row r="331" spans="1:4" x14ac:dyDescent="0.2">
      <c r="A331" s="8" t="s">
        <v>1948</v>
      </c>
      <c r="B331" s="8" t="s">
        <v>1949</v>
      </c>
      <c r="C331" s="8">
        <v>1.50291664698998</v>
      </c>
      <c r="D331" s="8">
        <v>1.0946915719056399E-2</v>
      </c>
    </row>
    <row r="332" spans="1:4" x14ac:dyDescent="0.2">
      <c r="A332" s="8" t="s">
        <v>1950</v>
      </c>
      <c r="B332" s="8" t="s">
        <v>1951</v>
      </c>
      <c r="C332" s="8">
        <v>-2.4159012342948998</v>
      </c>
      <c r="D332" s="8">
        <v>3.29191280057788E-2</v>
      </c>
    </row>
    <row r="333" spans="1:4" x14ac:dyDescent="0.2">
      <c r="A333" s="8" t="s">
        <v>1952</v>
      </c>
      <c r="B333" s="8" t="s">
        <v>1953</v>
      </c>
      <c r="C333" s="8">
        <v>1.6179831024034399</v>
      </c>
      <c r="D333" s="8">
        <v>3.84407111061284E-2</v>
      </c>
    </row>
    <row r="334" spans="1:4" x14ac:dyDescent="0.2">
      <c r="A334" s="8" t="s">
        <v>1954</v>
      </c>
      <c r="B334" s="8" t="s">
        <v>1955</v>
      </c>
      <c r="C334" s="8">
        <v>-1.52437814056789</v>
      </c>
      <c r="D334" s="8">
        <v>1.6366205013282401E-2</v>
      </c>
    </row>
    <row r="335" spans="1:4" x14ac:dyDescent="0.2">
      <c r="A335" s="8" t="s">
        <v>1956</v>
      </c>
      <c r="B335" s="8" t="s">
        <v>1957</v>
      </c>
      <c r="C335" s="8">
        <v>-2.54991140249783</v>
      </c>
      <c r="D335" s="8">
        <v>3.4111828991997897E-2</v>
      </c>
    </row>
    <row r="336" spans="1:4" x14ac:dyDescent="0.2">
      <c r="A336" s="8" t="s">
        <v>1958</v>
      </c>
      <c r="B336" s="8" t="s">
        <v>1959</v>
      </c>
      <c r="C336" s="8">
        <v>-1.9043976649701999</v>
      </c>
      <c r="D336" s="8">
        <v>2.22273003243358E-2</v>
      </c>
    </row>
    <row r="337" spans="1:4" x14ac:dyDescent="0.2">
      <c r="A337" s="8" t="s">
        <v>1960</v>
      </c>
      <c r="B337" s="8" t="s">
        <v>1961</v>
      </c>
      <c r="C337" s="8">
        <v>-2.4519329986765799</v>
      </c>
      <c r="D337" s="8">
        <v>2.3773674351447401E-2</v>
      </c>
    </row>
    <row r="338" spans="1:4" x14ac:dyDescent="0.2">
      <c r="A338" s="8" t="s">
        <v>1962</v>
      </c>
      <c r="B338" s="8" t="s">
        <v>1963</v>
      </c>
      <c r="C338" s="8">
        <v>-1.25995253410299</v>
      </c>
      <c r="D338" s="8">
        <v>3.5158478096534898E-2</v>
      </c>
    </row>
    <row r="339" spans="1:4" x14ac:dyDescent="0.2">
      <c r="A339" s="8" t="s">
        <v>1964</v>
      </c>
      <c r="B339" s="8" t="s">
        <v>1965</v>
      </c>
      <c r="C339" s="8">
        <v>2.5442253072629701</v>
      </c>
      <c r="D339" s="8">
        <v>4.5499943730354403E-2</v>
      </c>
    </row>
    <row r="340" spans="1:4" x14ac:dyDescent="0.2">
      <c r="A340" s="8" t="s">
        <v>1966</v>
      </c>
      <c r="B340" s="8" t="s">
        <v>1967</v>
      </c>
      <c r="C340" s="8">
        <v>1.9310596571179299</v>
      </c>
      <c r="D340" s="9">
        <v>9.1435078602884097E-5</v>
      </c>
    </row>
    <row r="341" spans="1:4" x14ac:dyDescent="0.2">
      <c r="A341" s="8" t="s">
        <v>1968</v>
      </c>
      <c r="B341" s="8" t="s">
        <v>1969</v>
      </c>
      <c r="C341" s="8">
        <v>1.10278643116992</v>
      </c>
      <c r="D341" s="8">
        <v>2.1697961675894599E-2</v>
      </c>
    </row>
    <row r="342" spans="1:4" x14ac:dyDescent="0.2">
      <c r="A342" s="8" t="s">
        <v>1970</v>
      </c>
      <c r="B342" s="8" t="s">
        <v>1971</v>
      </c>
      <c r="C342" s="8">
        <v>1.3383256906288801</v>
      </c>
      <c r="D342" s="8">
        <v>2.0978801942899299E-2</v>
      </c>
    </row>
    <row r="343" spans="1:4" x14ac:dyDescent="0.2">
      <c r="A343" s="8" t="s">
        <v>1972</v>
      </c>
      <c r="B343" s="8" t="s">
        <v>1973</v>
      </c>
      <c r="C343" s="8">
        <v>1.8652170883113799</v>
      </c>
      <c r="D343" s="8">
        <v>4.9975484891988803E-3</v>
      </c>
    </row>
    <row r="344" spans="1:4" x14ac:dyDescent="0.2">
      <c r="A344" s="8" t="s">
        <v>1974</v>
      </c>
      <c r="B344" s="8" t="s">
        <v>1975</v>
      </c>
      <c r="C344" s="8">
        <v>1.1340084537327899</v>
      </c>
      <c r="D344" s="8">
        <v>2.3024052615463898E-2</v>
      </c>
    </row>
    <row r="345" spans="1:4" x14ac:dyDescent="0.2">
      <c r="A345" s="8" t="s">
        <v>1976</v>
      </c>
      <c r="B345" s="8" t="s">
        <v>1977</v>
      </c>
      <c r="C345" s="8">
        <v>-1.6892585885240301</v>
      </c>
      <c r="D345" s="8">
        <v>2.45750658500032E-2</v>
      </c>
    </row>
    <row r="346" spans="1:4" x14ac:dyDescent="0.2">
      <c r="A346" s="8" t="s">
        <v>1978</v>
      </c>
      <c r="B346" s="8" t="s">
        <v>1979</v>
      </c>
      <c r="C346" s="8">
        <v>1.14869830149847</v>
      </c>
      <c r="D346" s="8">
        <v>8.4782146615342193E-3</v>
      </c>
    </row>
    <row r="347" spans="1:4" x14ac:dyDescent="0.2">
      <c r="A347" s="8" t="s">
        <v>1980</v>
      </c>
      <c r="B347" s="8" t="s">
        <v>1981</v>
      </c>
      <c r="C347" s="8">
        <v>3.6376521294592101</v>
      </c>
      <c r="D347" s="8">
        <v>7.1263112446172004E-3</v>
      </c>
    </row>
    <row r="348" spans="1:4" x14ac:dyDescent="0.2">
      <c r="A348" s="8" t="s">
        <v>1982</v>
      </c>
      <c r="B348" s="8" t="s">
        <v>1983</v>
      </c>
      <c r="C348" s="8">
        <v>1.12820388542563</v>
      </c>
      <c r="D348" s="8">
        <v>6.4241285999708702E-3</v>
      </c>
    </row>
    <row r="349" spans="1:4" x14ac:dyDescent="0.2">
      <c r="A349" s="8" t="s">
        <v>1984</v>
      </c>
      <c r="B349" s="8" t="s">
        <v>1985</v>
      </c>
      <c r="C349" s="8">
        <v>-1.1062423534469601</v>
      </c>
      <c r="D349" s="8">
        <v>2.82495623849278E-2</v>
      </c>
    </row>
    <row r="350" spans="1:4" x14ac:dyDescent="0.2">
      <c r="A350" s="8" t="s">
        <v>1986</v>
      </c>
      <c r="B350" s="8" t="s">
        <v>1987</v>
      </c>
      <c r="C350" s="8">
        <v>-1.36939466137101</v>
      </c>
      <c r="D350" s="8">
        <v>6.4081772911820897E-4</v>
      </c>
    </row>
    <row r="351" spans="1:4" x14ac:dyDescent="0.2">
      <c r="A351" s="8" t="s">
        <v>1988</v>
      </c>
      <c r="B351" s="8" t="s">
        <v>1989</v>
      </c>
      <c r="C351" s="8">
        <v>-1.3891766753216199</v>
      </c>
      <c r="D351" s="8">
        <v>6.6768954150715704E-3</v>
      </c>
    </row>
    <row r="352" spans="1:4" x14ac:dyDescent="0.2">
      <c r="A352" s="8" t="s">
        <v>1990</v>
      </c>
      <c r="B352" s="8" t="s">
        <v>1991</v>
      </c>
      <c r="C352" s="8">
        <v>1.58827203905063</v>
      </c>
      <c r="D352" s="8">
        <v>6.1234830188021698E-3</v>
      </c>
    </row>
    <row r="353" spans="1:4" x14ac:dyDescent="0.2">
      <c r="A353" s="8" t="s">
        <v>1992</v>
      </c>
      <c r="B353" s="8" t="s">
        <v>1993</v>
      </c>
      <c r="C353" s="8">
        <v>1.97985928776897</v>
      </c>
      <c r="D353" s="8">
        <v>5.8595189233496001E-3</v>
      </c>
    </row>
    <row r="354" spans="1:4" x14ac:dyDescent="0.2">
      <c r="A354" s="8" t="s">
        <v>1994</v>
      </c>
      <c r="B354" s="8" t="s">
        <v>1995</v>
      </c>
      <c r="C354" s="8">
        <v>1.0637167308033</v>
      </c>
      <c r="D354" s="8">
        <v>4.4077788013008802E-2</v>
      </c>
    </row>
    <row r="355" spans="1:4" x14ac:dyDescent="0.2">
      <c r="A355" s="8" t="s">
        <v>1996</v>
      </c>
      <c r="B355" s="8" t="s">
        <v>1997</v>
      </c>
      <c r="C355" s="8">
        <v>-1.9660266382407201</v>
      </c>
      <c r="D355" s="8">
        <v>2.4336426737167498E-2</v>
      </c>
    </row>
    <row r="356" spans="1:4" x14ac:dyDescent="0.2">
      <c r="A356" s="8" t="s">
        <v>1998</v>
      </c>
      <c r="B356" s="8" t="s">
        <v>1999</v>
      </c>
      <c r="C356" s="8">
        <v>-1.9234429224569001</v>
      </c>
      <c r="D356" s="8">
        <v>1.46657337583003E-3</v>
      </c>
    </row>
    <row r="357" spans="1:4" x14ac:dyDescent="0.2">
      <c r="A357" s="8" t="s">
        <v>2000</v>
      </c>
      <c r="B357" s="8" t="s">
        <v>2001</v>
      </c>
      <c r="C357" s="8">
        <v>-1.79385025867226</v>
      </c>
      <c r="D357" s="8">
        <v>2.0146896912702E-3</v>
      </c>
    </row>
    <row r="358" spans="1:4" x14ac:dyDescent="0.2">
      <c r="A358" s="8" t="s">
        <v>2002</v>
      </c>
      <c r="B358" s="8" t="s">
        <v>2003</v>
      </c>
      <c r="C358" s="8">
        <v>1.5052232912466701</v>
      </c>
      <c r="D358" s="8">
        <v>5.0102351113015195E-4</v>
      </c>
    </row>
    <row r="359" spans="1:4" x14ac:dyDescent="0.2">
      <c r="A359" s="8" t="s">
        <v>2004</v>
      </c>
      <c r="B359" s="8" t="s">
        <v>2005</v>
      </c>
      <c r="C359" s="8">
        <v>-1.83832350195217</v>
      </c>
      <c r="D359" s="8">
        <v>4.9297633771001603E-2</v>
      </c>
    </row>
    <row r="360" spans="1:4" x14ac:dyDescent="0.2">
      <c r="A360" s="8" t="s">
        <v>2006</v>
      </c>
      <c r="B360" s="8" t="s">
        <v>2007</v>
      </c>
      <c r="C360" s="8">
        <v>-2.0022779260607</v>
      </c>
      <c r="D360" s="8">
        <v>7.6869810783569501E-3</v>
      </c>
    </row>
    <row r="361" spans="1:4" x14ac:dyDescent="0.2">
      <c r="A361" s="8" t="s">
        <v>2008</v>
      </c>
      <c r="B361" s="8" t="s">
        <v>2009</v>
      </c>
      <c r="C361" s="8">
        <v>1.0289200209435301</v>
      </c>
      <c r="D361" s="8">
        <v>1.58922735842419E-2</v>
      </c>
    </row>
    <row r="362" spans="1:4" x14ac:dyDescent="0.2">
      <c r="A362" s="8" t="s">
        <v>2010</v>
      </c>
      <c r="B362" s="8" t="s">
        <v>2011</v>
      </c>
      <c r="C362" s="8">
        <v>-2.6459068674769499</v>
      </c>
      <c r="D362" s="8">
        <v>5.7543646875231197E-3</v>
      </c>
    </row>
    <row r="363" spans="1:4" x14ac:dyDescent="0.2">
      <c r="A363" s="8" t="s">
        <v>2012</v>
      </c>
      <c r="B363" s="8" t="s">
        <v>2013</v>
      </c>
      <c r="C363" s="8">
        <v>1.1140694219029199</v>
      </c>
      <c r="D363" s="8">
        <v>1.3341597550524499E-2</v>
      </c>
    </row>
    <row r="364" spans="1:4" x14ac:dyDescent="0.2">
      <c r="A364" s="8" t="s">
        <v>2014</v>
      </c>
      <c r="B364" s="8" t="s">
        <v>2015</v>
      </c>
      <c r="C364" s="8">
        <v>1.0311596184673599</v>
      </c>
      <c r="D364" s="8">
        <v>1.5240418673928E-3</v>
      </c>
    </row>
    <row r="365" spans="1:4" x14ac:dyDescent="0.2">
      <c r="A365" s="8" t="s">
        <v>2016</v>
      </c>
      <c r="B365" s="8" t="s">
        <v>2017</v>
      </c>
      <c r="C365" s="8">
        <v>2.0335832540244199</v>
      </c>
      <c r="D365" s="8">
        <v>2.2856630097377401E-2</v>
      </c>
    </row>
    <row r="366" spans="1:4" x14ac:dyDescent="0.2">
      <c r="A366" s="8" t="s">
        <v>2018</v>
      </c>
      <c r="B366" s="8" t="s">
        <v>2019</v>
      </c>
      <c r="C366" s="8">
        <v>-2.85644688837733</v>
      </c>
      <c r="D366" s="8">
        <v>4.8169256382959496E-3</v>
      </c>
    </row>
    <row r="367" spans="1:4" x14ac:dyDescent="0.2">
      <c r="A367" s="8" t="s">
        <v>2020</v>
      </c>
      <c r="B367" s="8" t="s">
        <v>2021</v>
      </c>
      <c r="C367" s="8">
        <v>1.5921552684167899</v>
      </c>
      <c r="D367" s="8">
        <v>4.9366017385082797E-2</v>
      </c>
    </row>
    <row r="368" spans="1:4" x14ac:dyDescent="0.2">
      <c r="A368" s="8" t="s">
        <v>2022</v>
      </c>
      <c r="B368" s="8" t="s">
        <v>2023</v>
      </c>
      <c r="C368" s="8">
        <v>-1.6470690551229299</v>
      </c>
      <c r="D368" s="8">
        <v>1.7681954044605101E-2</v>
      </c>
    </row>
    <row r="369" spans="1:4" x14ac:dyDescent="0.2">
      <c r="A369" s="8" t="s">
        <v>2024</v>
      </c>
      <c r="B369" s="8" t="s">
        <v>2025</v>
      </c>
      <c r="C369" s="8">
        <v>-1.35579788105529</v>
      </c>
      <c r="D369" s="8">
        <v>3.2330545640368802E-2</v>
      </c>
    </row>
    <row r="370" spans="1:4" x14ac:dyDescent="0.2">
      <c r="A370" s="8" t="s">
        <v>2026</v>
      </c>
      <c r="B370" s="8" t="s">
        <v>2027</v>
      </c>
      <c r="C370" s="8">
        <v>-1.87822760426929</v>
      </c>
      <c r="D370" s="8">
        <v>1.51983391822768E-2</v>
      </c>
    </row>
    <row r="371" spans="1:4" x14ac:dyDescent="0.2">
      <c r="A371" s="8" t="s">
        <v>2028</v>
      </c>
      <c r="B371" s="8" t="s">
        <v>2029</v>
      </c>
      <c r="C371" s="8">
        <v>-1.05638571422686</v>
      </c>
      <c r="D371" s="8">
        <v>4.6229671482017197E-2</v>
      </c>
    </row>
    <row r="372" spans="1:4" x14ac:dyDescent="0.2">
      <c r="A372" s="8" t="s">
        <v>2030</v>
      </c>
      <c r="B372" s="8" t="s">
        <v>2031</v>
      </c>
      <c r="C372" s="8">
        <v>1.79935230923431</v>
      </c>
      <c r="D372" s="8">
        <v>9.0080365239456495E-3</v>
      </c>
    </row>
    <row r="373" spans="1:4" x14ac:dyDescent="0.2">
      <c r="A373" s="8" t="s">
        <v>2032</v>
      </c>
      <c r="B373" s="8" t="s">
        <v>2033</v>
      </c>
      <c r="C373" s="8">
        <v>-3.1466590966045498</v>
      </c>
      <c r="D373" s="8">
        <v>1.31731346247956E-2</v>
      </c>
    </row>
    <row r="374" spans="1:4" x14ac:dyDescent="0.2">
      <c r="A374" s="8" t="s">
        <v>2034</v>
      </c>
      <c r="B374" s="8" t="s">
        <v>2035</v>
      </c>
      <c r="C374" s="8">
        <v>-3.0353253084704601</v>
      </c>
      <c r="D374" s="8">
        <v>3.3968856285896798E-2</v>
      </c>
    </row>
    <row r="375" spans="1:4" x14ac:dyDescent="0.2">
      <c r="A375" s="8" t="s">
        <v>2036</v>
      </c>
      <c r="B375" s="8" t="s">
        <v>2037</v>
      </c>
      <c r="C375" s="8">
        <v>1.49551295449317</v>
      </c>
      <c r="D375" s="8">
        <v>4.4661470452276803E-3</v>
      </c>
    </row>
    <row r="376" spans="1:4" x14ac:dyDescent="0.2">
      <c r="A376" s="8" t="s">
        <v>2038</v>
      </c>
      <c r="B376" s="8" t="s">
        <v>2039</v>
      </c>
      <c r="C376" s="8">
        <v>2.2348968327161298</v>
      </c>
      <c r="D376" s="9">
        <v>2.1742878581725601E-5</v>
      </c>
    </row>
    <row r="377" spans="1:4" x14ac:dyDescent="0.2">
      <c r="A377" s="8" t="s">
        <v>2040</v>
      </c>
      <c r="B377" s="8" t="s">
        <v>2041</v>
      </c>
      <c r="C377" s="8">
        <v>-1.3904768053516501</v>
      </c>
      <c r="D377" s="8">
        <v>1.7118991116122799E-2</v>
      </c>
    </row>
    <row r="378" spans="1:4" x14ac:dyDescent="0.2">
      <c r="A378" s="8" t="s">
        <v>2042</v>
      </c>
      <c r="B378" s="8" t="s">
        <v>2043</v>
      </c>
      <c r="C378" s="8">
        <v>-1.15682606961315</v>
      </c>
      <c r="D378" s="8">
        <v>3.8089718010220298E-2</v>
      </c>
    </row>
    <row r="379" spans="1:4" x14ac:dyDescent="0.2">
      <c r="A379" s="8" t="s">
        <v>2044</v>
      </c>
      <c r="B379" s="8" t="s">
        <v>2045</v>
      </c>
      <c r="C379" s="8">
        <v>-2.0337253134567099</v>
      </c>
      <c r="D379" s="8">
        <v>2.1559289054154999E-2</v>
      </c>
    </row>
    <row r="380" spans="1:4" x14ac:dyDescent="0.2">
      <c r="A380" s="8" t="s">
        <v>2046</v>
      </c>
      <c r="B380" s="8" t="s">
        <v>2047</v>
      </c>
      <c r="C380" s="8">
        <v>2.5954282843187699</v>
      </c>
      <c r="D380" s="8">
        <v>3.5540348377500401E-3</v>
      </c>
    </row>
    <row r="381" spans="1:4" x14ac:dyDescent="0.2">
      <c r="A381" s="8" t="s">
        <v>2048</v>
      </c>
      <c r="B381" s="8" t="s">
        <v>2049</v>
      </c>
      <c r="C381" s="8">
        <v>3.5444142179670499</v>
      </c>
      <c r="D381" s="8">
        <v>2.0478178195078699E-3</v>
      </c>
    </row>
    <row r="382" spans="1:4" x14ac:dyDescent="0.2">
      <c r="A382" s="8" t="s">
        <v>2050</v>
      </c>
      <c r="B382" s="8" t="s">
        <v>2051</v>
      </c>
      <c r="C382" s="8">
        <v>1.3244853211262999</v>
      </c>
      <c r="D382" s="8">
        <v>4.8295501869548398E-3</v>
      </c>
    </row>
    <row r="383" spans="1:4" x14ac:dyDescent="0.2">
      <c r="A383" s="8" t="s">
        <v>2052</v>
      </c>
      <c r="B383" s="8" t="s">
        <v>2053</v>
      </c>
      <c r="C383" s="8">
        <v>1.0351907752064999</v>
      </c>
      <c r="D383" s="8">
        <v>2.2336332793104499E-2</v>
      </c>
    </row>
    <row r="384" spans="1:4" x14ac:dyDescent="0.2">
      <c r="A384" s="8" t="s">
        <v>2054</v>
      </c>
      <c r="B384" s="8" t="s">
        <v>2055</v>
      </c>
      <c r="C384" s="8">
        <v>1.26184599313902</v>
      </c>
      <c r="D384" s="8">
        <v>9.7258436536158796E-4</v>
      </c>
    </row>
    <row r="385" spans="1:4" x14ac:dyDescent="0.2">
      <c r="A385" s="8" t="s">
        <v>2056</v>
      </c>
      <c r="B385" s="8" t="s">
        <v>2057</v>
      </c>
      <c r="C385" s="8">
        <v>1.43394154271548</v>
      </c>
      <c r="D385" s="8">
        <v>3.2245680894651199E-3</v>
      </c>
    </row>
    <row r="386" spans="1:4" x14ac:dyDescent="0.2">
      <c r="A386" s="8" t="s">
        <v>2058</v>
      </c>
      <c r="B386" s="8" t="s">
        <v>2059</v>
      </c>
      <c r="C386" s="8">
        <v>-1.16816289122471</v>
      </c>
      <c r="D386" s="8">
        <v>3.06379478987342E-3</v>
      </c>
    </row>
    <row r="387" spans="1:4" x14ac:dyDescent="0.2">
      <c r="A387" s="8" t="s">
        <v>2060</v>
      </c>
      <c r="B387" s="8" t="s">
        <v>2061</v>
      </c>
      <c r="C387" s="8">
        <v>-1.3764741255181501</v>
      </c>
      <c r="D387" s="8">
        <v>4.2785081731901098E-2</v>
      </c>
    </row>
    <row r="388" spans="1:4" x14ac:dyDescent="0.2">
      <c r="A388" s="8" t="s">
        <v>2062</v>
      </c>
      <c r="B388" s="8" t="s">
        <v>2063</v>
      </c>
      <c r="C388" s="8">
        <v>1.7033471519869201</v>
      </c>
      <c r="D388" s="8">
        <v>3.68674519722028E-2</v>
      </c>
    </row>
    <row r="389" spans="1:4" x14ac:dyDescent="0.2">
      <c r="A389" s="8" t="s">
        <v>2064</v>
      </c>
      <c r="B389" s="8" t="s">
        <v>2065</v>
      </c>
      <c r="C389" s="8">
        <v>1.22398967532576</v>
      </c>
      <c r="D389" s="8">
        <v>9.5852543985266506E-3</v>
      </c>
    </row>
    <row r="390" spans="1:4" x14ac:dyDescent="0.2">
      <c r="A390" s="8" t="s">
        <v>2066</v>
      </c>
      <c r="B390" s="8" t="s">
        <v>2067</v>
      </c>
      <c r="C390" s="8">
        <v>-1.3001175428984699</v>
      </c>
      <c r="D390" s="8">
        <v>1.8790734331624901E-4</v>
      </c>
    </row>
    <row r="391" spans="1:4" x14ac:dyDescent="0.2">
      <c r="A391" s="8" t="s">
        <v>2068</v>
      </c>
      <c r="B391" s="8" t="s">
        <v>2069</v>
      </c>
      <c r="C391" s="8">
        <v>1.0878883653029301</v>
      </c>
      <c r="D391" s="8">
        <v>1.6884289146019599E-2</v>
      </c>
    </row>
    <row r="392" spans="1:4" x14ac:dyDescent="0.2">
      <c r="A392" s="8" t="s">
        <v>2070</v>
      </c>
      <c r="B392" s="8" t="s">
        <v>2071</v>
      </c>
      <c r="C392" s="8">
        <v>1.8434852373100701</v>
      </c>
      <c r="D392" s="8">
        <v>1.9896238974328401E-3</v>
      </c>
    </row>
    <row r="393" spans="1:4" x14ac:dyDescent="0.2">
      <c r="A393" s="8" t="s">
        <v>2072</v>
      </c>
      <c r="B393" s="8" t="s">
        <v>2073</v>
      </c>
      <c r="C393" s="8">
        <v>1.4120501675511301</v>
      </c>
      <c r="D393" s="8">
        <v>6.7459686805002401E-3</v>
      </c>
    </row>
    <row r="394" spans="1:4" x14ac:dyDescent="0.2">
      <c r="A394" s="8" t="s">
        <v>2074</v>
      </c>
      <c r="B394" s="8" t="s">
        <v>2075</v>
      </c>
      <c r="C394" s="8">
        <v>-1.57535926233992</v>
      </c>
      <c r="D394" s="8">
        <v>3.8067553093426999E-2</v>
      </c>
    </row>
    <row r="395" spans="1:4" x14ac:dyDescent="0.2">
      <c r="A395" s="8" t="s">
        <v>2076</v>
      </c>
      <c r="B395" s="8" t="s">
        <v>2077</v>
      </c>
      <c r="C395" s="8">
        <v>1.0813517190755499</v>
      </c>
      <c r="D395" s="8">
        <v>2.7401737103336401E-2</v>
      </c>
    </row>
    <row r="396" spans="1:4" x14ac:dyDescent="0.2">
      <c r="A396" s="8" t="s">
        <v>2078</v>
      </c>
      <c r="B396" s="8" t="s">
        <v>2079</v>
      </c>
      <c r="C396" s="8">
        <v>-1.6265019975014601</v>
      </c>
      <c r="D396" s="8">
        <v>2.29543407692453E-3</v>
      </c>
    </row>
    <row r="397" spans="1:4" x14ac:dyDescent="0.2">
      <c r="A397" s="8" t="s">
        <v>2080</v>
      </c>
      <c r="B397" s="8" t="s">
        <v>2081</v>
      </c>
      <c r="C397" s="8">
        <v>1.9071613301574399</v>
      </c>
      <c r="D397" s="8">
        <v>3.8090682738398503E-2</v>
      </c>
    </row>
    <row r="398" spans="1:4" x14ac:dyDescent="0.2">
      <c r="A398" s="8" t="s">
        <v>2082</v>
      </c>
      <c r="B398" s="8" t="s">
        <v>2083</v>
      </c>
      <c r="C398" s="8">
        <v>-1.76149639104879</v>
      </c>
      <c r="D398" s="8">
        <v>4.4727836223379001E-3</v>
      </c>
    </row>
    <row r="399" spans="1:4" x14ac:dyDescent="0.2">
      <c r="A399" s="8" t="s">
        <v>2084</v>
      </c>
      <c r="B399" s="8" t="s">
        <v>2085</v>
      </c>
      <c r="C399" s="8">
        <v>-1.6740581911164101</v>
      </c>
      <c r="D399" s="8">
        <v>1.2562040885165601E-2</v>
      </c>
    </row>
    <row r="400" spans="1:4" x14ac:dyDescent="0.2">
      <c r="A400" s="8" t="s">
        <v>2086</v>
      </c>
      <c r="B400" s="8" t="s">
        <v>2087</v>
      </c>
      <c r="C400" s="8">
        <v>-1.7241319033770599</v>
      </c>
      <c r="D400" s="8">
        <v>4.6597897510113201E-2</v>
      </c>
    </row>
    <row r="401" spans="1:4" x14ac:dyDescent="0.2">
      <c r="A401" s="8" t="s">
        <v>2088</v>
      </c>
      <c r="B401" s="8" t="s">
        <v>2089</v>
      </c>
      <c r="C401" s="8">
        <v>-1.1907617368099901</v>
      </c>
      <c r="D401" s="8">
        <v>6.8719896961709596E-3</v>
      </c>
    </row>
    <row r="402" spans="1:4" x14ac:dyDescent="0.2">
      <c r="A402" s="8" t="s">
        <v>2090</v>
      </c>
      <c r="B402" s="8" t="s">
        <v>2091</v>
      </c>
      <c r="C402" s="8">
        <v>-1.46259189521296</v>
      </c>
      <c r="D402" s="8">
        <v>1.7380679729359201E-2</v>
      </c>
    </row>
    <row r="403" spans="1:4" x14ac:dyDescent="0.2">
      <c r="A403" s="8" t="s">
        <v>2092</v>
      </c>
      <c r="B403" s="8" t="s">
        <v>2093</v>
      </c>
      <c r="C403" s="8">
        <v>1.36025751762227</v>
      </c>
      <c r="D403" s="8">
        <v>1.69729615642558E-2</v>
      </c>
    </row>
    <row r="404" spans="1:4" x14ac:dyDescent="0.2">
      <c r="A404" s="8" t="s">
        <v>2094</v>
      </c>
      <c r="B404" s="8" t="s">
        <v>2095</v>
      </c>
      <c r="C404" s="8">
        <v>1.98037944395438</v>
      </c>
      <c r="D404" s="8">
        <v>2.7189457125933202E-2</v>
      </c>
    </row>
    <row r="405" spans="1:4" x14ac:dyDescent="0.2">
      <c r="A405" s="8" t="s">
        <v>2096</v>
      </c>
      <c r="B405" s="8" t="s">
        <v>2097</v>
      </c>
      <c r="C405" s="8">
        <v>-1.67912094770725</v>
      </c>
      <c r="D405" s="8">
        <v>1.71016586131819E-2</v>
      </c>
    </row>
    <row r="406" spans="1:4" x14ac:dyDescent="0.2">
      <c r="A406" s="8" t="s">
        <v>2098</v>
      </c>
      <c r="B406" s="8" t="s">
        <v>2099</v>
      </c>
      <c r="C406" s="8">
        <v>-2.0324850149405802</v>
      </c>
      <c r="D406" s="8">
        <v>2.6171440190436199E-2</v>
      </c>
    </row>
    <row r="407" spans="1:4" x14ac:dyDescent="0.2">
      <c r="A407" s="8" t="s">
        <v>2100</v>
      </c>
      <c r="B407" s="8" t="s">
        <v>2101</v>
      </c>
      <c r="C407" s="8">
        <v>-1.8485495752619601</v>
      </c>
      <c r="D407" s="8">
        <v>1.62473917438915E-2</v>
      </c>
    </row>
    <row r="408" spans="1:4" x14ac:dyDescent="0.2">
      <c r="A408" s="8" t="s">
        <v>2102</v>
      </c>
      <c r="B408" s="8" t="s">
        <v>2103</v>
      </c>
      <c r="C408" s="8">
        <v>-2.2558404945694002</v>
      </c>
      <c r="D408" s="8">
        <v>3.5892747154573201E-3</v>
      </c>
    </row>
    <row r="409" spans="1:4" x14ac:dyDescent="0.2">
      <c r="A409" s="8" t="s">
        <v>2104</v>
      </c>
      <c r="B409" s="8" t="s">
        <v>2105</v>
      </c>
      <c r="C409" s="8">
        <v>-2.6003708266617802</v>
      </c>
      <c r="D409" s="8">
        <v>4.6632805702150198E-2</v>
      </c>
    </row>
    <row r="410" spans="1:4" x14ac:dyDescent="0.2">
      <c r="A410" s="8" t="s">
        <v>2106</v>
      </c>
      <c r="B410" s="8" t="s">
        <v>2107</v>
      </c>
      <c r="C410" s="8">
        <v>-2.2573911280515899</v>
      </c>
      <c r="D410" s="8">
        <v>4.5804591649034398E-4</v>
      </c>
    </row>
    <row r="411" spans="1:4" x14ac:dyDescent="0.2">
      <c r="A411" s="8" t="s">
        <v>2108</v>
      </c>
      <c r="B411" s="8" t="s">
        <v>2109</v>
      </c>
      <c r="C411" s="8">
        <v>2.75276700961488</v>
      </c>
      <c r="D411" s="8">
        <v>2.5820524827387802E-2</v>
      </c>
    </row>
    <row r="412" spans="1:4" x14ac:dyDescent="0.2">
      <c r="A412" s="8" t="s">
        <v>2110</v>
      </c>
      <c r="B412" s="8" t="s">
        <v>2111</v>
      </c>
      <c r="C412" s="8">
        <v>-1.08963940645125</v>
      </c>
      <c r="D412" s="8">
        <v>1.5058514344446199E-2</v>
      </c>
    </row>
    <row r="413" spans="1:4" x14ac:dyDescent="0.2">
      <c r="A413" s="8" t="s">
        <v>2112</v>
      </c>
      <c r="B413" s="8" t="s">
        <v>2113</v>
      </c>
      <c r="C413" s="8">
        <v>-1.2938023030758601</v>
      </c>
      <c r="D413" s="8">
        <v>6.3861787109527302E-4</v>
      </c>
    </row>
    <row r="414" spans="1:4" x14ac:dyDescent="0.2">
      <c r="A414" s="8" t="s">
        <v>2114</v>
      </c>
      <c r="B414" s="8" t="s">
        <v>2115</v>
      </c>
      <c r="C414" s="8">
        <v>1.15932448124294</v>
      </c>
      <c r="D414" s="8">
        <v>1.8940758415598401E-3</v>
      </c>
    </row>
    <row r="415" spans="1:4" x14ac:dyDescent="0.2">
      <c r="A415" s="8" t="s">
        <v>2116</v>
      </c>
      <c r="B415" s="8" t="s">
        <v>2117</v>
      </c>
      <c r="C415" s="8">
        <v>-1.1816553981706199</v>
      </c>
      <c r="D415" s="8">
        <v>2.2873636471905601E-2</v>
      </c>
    </row>
    <row r="416" spans="1:4" x14ac:dyDescent="0.2">
      <c r="A416" s="8" t="s">
        <v>2118</v>
      </c>
      <c r="B416" s="8" t="s">
        <v>2119</v>
      </c>
      <c r="C416" s="8">
        <v>-1.4359057136192801</v>
      </c>
      <c r="D416" s="8">
        <v>5.1273061717000898E-3</v>
      </c>
    </row>
    <row r="417" spans="1:4" x14ac:dyDescent="0.2">
      <c r="A417" s="8" t="s">
        <v>2120</v>
      </c>
      <c r="B417" s="8" t="s">
        <v>2121</v>
      </c>
      <c r="C417" s="8">
        <v>-1.34376702781061</v>
      </c>
      <c r="D417" s="8">
        <v>6.99022770712396E-3</v>
      </c>
    </row>
    <row r="418" spans="1:4" x14ac:dyDescent="0.2">
      <c r="A418" s="8" t="s">
        <v>2122</v>
      </c>
      <c r="B418" s="8" t="s">
        <v>2123</v>
      </c>
      <c r="C418" s="8">
        <v>-1.76413033397069</v>
      </c>
      <c r="D418" s="8">
        <v>3.1119846364250602E-2</v>
      </c>
    </row>
    <row r="419" spans="1:4" x14ac:dyDescent="0.2">
      <c r="A419" s="8" t="s">
        <v>2124</v>
      </c>
      <c r="B419" s="8" t="s">
        <v>2125</v>
      </c>
      <c r="C419" s="8">
        <v>-2.5504607528404102</v>
      </c>
      <c r="D419" s="8">
        <v>3.4181954481600899E-2</v>
      </c>
    </row>
    <row r="420" spans="1:4" x14ac:dyDescent="0.2">
      <c r="A420" s="8" t="s">
        <v>2126</v>
      </c>
      <c r="B420" s="8" t="s">
        <v>2127</v>
      </c>
      <c r="C420" s="8">
        <v>1.1107251304891801</v>
      </c>
      <c r="D420" s="8">
        <v>4.34438029131231E-4</v>
      </c>
    </row>
    <row r="421" spans="1:4" x14ac:dyDescent="0.2">
      <c r="A421" s="8" t="s">
        <v>2128</v>
      </c>
      <c r="B421" s="8" t="s">
        <v>2129</v>
      </c>
      <c r="C421" s="8">
        <v>2.7867253483462102</v>
      </c>
      <c r="D421" s="8">
        <v>9.6996020784799204E-3</v>
      </c>
    </row>
    <row r="422" spans="1:4" x14ac:dyDescent="0.2">
      <c r="A422" s="8" t="s">
        <v>2130</v>
      </c>
      <c r="B422" s="8" t="s">
        <v>2131</v>
      </c>
      <c r="C422" s="8">
        <v>-3.0389627871286198</v>
      </c>
      <c r="D422" s="8">
        <v>3.98013911717124E-2</v>
      </c>
    </row>
    <row r="423" spans="1:4" x14ac:dyDescent="0.2">
      <c r="A423" s="8" t="s">
        <v>2132</v>
      </c>
      <c r="B423" s="8" t="s">
        <v>2133</v>
      </c>
      <c r="C423" s="8">
        <v>1.57673616524529</v>
      </c>
      <c r="D423" s="8">
        <v>2.4616633996041901E-2</v>
      </c>
    </row>
    <row r="424" spans="1:4" x14ac:dyDescent="0.2">
      <c r="A424" s="8" t="s">
        <v>2134</v>
      </c>
      <c r="B424" s="8" t="s">
        <v>2135</v>
      </c>
      <c r="C424" s="8">
        <v>-1.34817029065406</v>
      </c>
      <c r="D424" s="8">
        <v>2.2095902541343901E-2</v>
      </c>
    </row>
    <row r="425" spans="1:4" x14ac:dyDescent="0.2">
      <c r="A425" s="8" t="s">
        <v>2136</v>
      </c>
      <c r="B425" s="8" t="s">
        <v>2137</v>
      </c>
      <c r="C425" s="8">
        <v>2.0397827082492399</v>
      </c>
      <c r="D425" s="8">
        <v>3.0990785535762299E-3</v>
      </c>
    </row>
    <row r="426" spans="1:4" x14ac:dyDescent="0.2">
      <c r="A426" s="8" t="s">
        <v>2138</v>
      </c>
      <c r="B426" s="8" t="s">
        <v>2139</v>
      </c>
      <c r="C426" s="8">
        <v>-1.3402353894972101</v>
      </c>
      <c r="D426" s="8">
        <v>3.5292252851903502E-2</v>
      </c>
    </row>
    <row r="427" spans="1:4" x14ac:dyDescent="0.2">
      <c r="A427" s="8" t="s">
        <v>2140</v>
      </c>
      <c r="B427" s="8" t="s">
        <v>2141</v>
      </c>
      <c r="C427" s="8">
        <v>-1.0901283218087301</v>
      </c>
      <c r="D427" s="8">
        <v>3.6374852090658397E-2</v>
      </c>
    </row>
    <row r="428" spans="1:4" x14ac:dyDescent="0.2">
      <c r="A428" s="8" t="s">
        <v>2142</v>
      </c>
      <c r="B428" s="8" t="s">
        <v>2143</v>
      </c>
      <c r="C428" s="8">
        <v>1.4107230615408199</v>
      </c>
      <c r="D428" s="8">
        <v>1.2899087265955799E-3</v>
      </c>
    </row>
    <row r="429" spans="1:4" x14ac:dyDescent="0.2">
      <c r="A429" s="8" t="s">
        <v>2144</v>
      </c>
      <c r="B429" s="8" t="s">
        <v>2145</v>
      </c>
      <c r="C429" s="8">
        <v>1.2229273741432101</v>
      </c>
      <c r="D429" s="8">
        <v>1.69869310584666E-2</v>
      </c>
    </row>
    <row r="430" spans="1:4" x14ac:dyDescent="0.2">
      <c r="A430" s="8" t="s">
        <v>2146</v>
      </c>
      <c r="B430" s="8" t="s">
        <v>2147</v>
      </c>
      <c r="C430" s="8">
        <v>3.1065193783040601</v>
      </c>
      <c r="D430" s="9">
        <v>1.7311672486764599E-5</v>
      </c>
    </row>
    <row r="431" spans="1:4" x14ac:dyDescent="0.2">
      <c r="A431" s="8" t="s">
        <v>2148</v>
      </c>
      <c r="B431" s="8" t="s">
        <v>2149</v>
      </c>
      <c r="C431" s="8">
        <v>2.49924472170727</v>
      </c>
      <c r="D431" s="8">
        <v>2.3028744689007402E-3</v>
      </c>
    </row>
    <row r="432" spans="1:4" x14ac:dyDescent="0.2">
      <c r="A432" s="8" t="s">
        <v>2150</v>
      </c>
      <c r="B432" s="8" t="s">
        <v>2151</v>
      </c>
      <c r="C432" s="8">
        <v>1.17415747331554</v>
      </c>
      <c r="D432" s="8">
        <v>6.2776378773591801E-3</v>
      </c>
    </row>
    <row r="433" spans="1:4" x14ac:dyDescent="0.2">
      <c r="A433" s="8" t="s">
        <v>2152</v>
      </c>
      <c r="B433" s="8" t="s">
        <v>2153</v>
      </c>
      <c r="C433" s="8">
        <v>1.8490542370554199</v>
      </c>
      <c r="D433" s="8">
        <v>6.0700501645859304E-3</v>
      </c>
    </row>
    <row r="434" spans="1:4" x14ac:dyDescent="0.2">
      <c r="A434" s="8" t="s">
        <v>2154</v>
      </c>
      <c r="B434" s="8" t="s">
        <v>2155</v>
      </c>
      <c r="C434" s="8">
        <v>-1.0423817069966299</v>
      </c>
      <c r="D434" s="8">
        <v>2.7842186565771799E-2</v>
      </c>
    </row>
    <row r="435" spans="1:4" x14ac:dyDescent="0.2">
      <c r="A435" s="8" t="s">
        <v>2156</v>
      </c>
      <c r="B435" s="8" t="s">
        <v>2157</v>
      </c>
      <c r="C435" s="8">
        <v>-1.4069243250210799</v>
      </c>
      <c r="D435" s="8">
        <v>2.10524650256818E-2</v>
      </c>
    </row>
    <row r="436" spans="1:4" x14ac:dyDescent="0.2">
      <c r="A436" s="8" t="s">
        <v>2158</v>
      </c>
      <c r="B436" s="8" t="s">
        <v>2159</v>
      </c>
      <c r="C436" s="8">
        <v>-2.1217377173337799</v>
      </c>
      <c r="D436" s="8">
        <v>1.9972623073193401E-2</v>
      </c>
    </row>
    <row r="437" spans="1:4" x14ac:dyDescent="0.2">
      <c r="A437" s="8" t="s">
        <v>2160</v>
      </c>
      <c r="B437" s="8" t="s">
        <v>2161</v>
      </c>
      <c r="C437" s="8">
        <v>-1.79912053304298</v>
      </c>
      <c r="D437" s="8">
        <v>2.808117032949E-3</v>
      </c>
    </row>
    <row r="438" spans="1:4" x14ac:dyDescent="0.2">
      <c r="A438" s="8" t="s">
        <v>2162</v>
      </c>
      <c r="B438" s="8" t="s">
        <v>2163</v>
      </c>
      <c r="C438" s="8">
        <v>-2.7791060684212301</v>
      </c>
      <c r="D438" s="8">
        <v>6.9958997304046698E-3</v>
      </c>
    </row>
    <row r="439" spans="1:4" x14ac:dyDescent="0.2">
      <c r="A439" s="8" t="s">
        <v>2164</v>
      </c>
      <c r="B439" s="8" t="s">
        <v>2165</v>
      </c>
      <c r="C439" s="8">
        <v>-2.7197815362425999</v>
      </c>
      <c r="D439" s="8">
        <v>7.4737699453686296E-3</v>
      </c>
    </row>
    <row r="440" spans="1:4" x14ac:dyDescent="0.2">
      <c r="A440" s="8" t="s">
        <v>2166</v>
      </c>
      <c r="B440" s="8" t="s">
        <v>2167</v>
      </c>
      <c r="C440" s="8">
        <v>-5.19703668664072</v>
      </c>
      <c r="D440" s="8">
        <v>6.0500234738471298E-3</v>
      </c>
    </row>
    <row r="441" spans="1:4" x14ac:dyDescent="0.2">
      <c r="A441" s="8" t="s">
        <v>2168</v>
      </c>
      <c r="B441" s="8" t="s">
        <v>2169</v>
      </c>
      <c r="C441" s="8">
        <v>-1.4810512524116399</v>
      </c>
      <c r="D441" s="8">
        <v>3.70092555614858E-2</v>
      </c>
    </row>
    <row r="442" spans="1:4" x14ac:dyDescent="0.2">
      <c r="A442" s="8" t="s">
        <v>2170</v>
      </c>
      <c r="B442" s="8" t="s">
        <v>2171</v>
      </c>
      <c r="C442" s="8">
        <v>1.32875060595224</v>
      </c>
      <c r="D442" s="8">
        <v>2.4575164199121698E-2</v>
      </c>
    </row>
    <row r="443" spans="1:4" x14ac:dyDescent="0.2">
      <c r="A443" s="8" t="s">
        <v>2172</v>
      </c>
      <c r="B443" s="8" t="s">
        <v>2173</v>
      </c>
      <c r="C443" s="8">
        <v>-2.2332549064668501</v>
      </c>
      <c r="D443" s="8">
        <v>1.15554017433397E-3</v>
      </c>
    </row>
    <row r="444" spans="1:4" x14ac:dyDescent="0.2">
      <c r="A444" s="8" t="s">
        <v>2174</v>
      </c>
      <c r="B444" s="8" t="s">
        <v>2175</v>
      </c>
      <c r="C444" s="8">
        <v>-1.0933817052344399</v>
      </c>
      <c r="D444" s="8">
        <v>3.2769588857643903E-2</v>
      </c>
    </row>
    <row r="445" spans="1:4" x14ac:dyDescent="0.2">
      <c r="A445" s="8" t="s">
        <v>2176</v>
      </c>
      <c r="B445" s="8" t="s">
        <v>2177</v>
      </c>
      <c r="C445" s="8">
        <v>-1.13160699640221</v>
      </c>
      <c r="D445" s="8">
        <v>9.7416576219118995E-3</v>
      </c>
    </row>
    <row r="446" spans="1:4" x14ac:dyDescent="0.2">
      <c r="A446" s="8" t="s">
        <v>2178</v>
      </c>
      <c r="B446" s="8" t="s">
        <v>2179</v>
      </c>
      <c r="C446" s="8">
        <v>-1.5581067237008499</v>
      </c>
      <c r="D446" s="8">
        <v>3.7048696024346899E-2</v>
      </c>
    </row>
    <row r="447" spans="1:4" x14ac:dyDescent="0.2">
      <c r="A447" s="8" t="s">
        <v>2180</v>
      </c>
      <c r="B447" s="8" t="s">
        <v>2181</v>
      </c>
      <c r="C447" s="8">
        <v>-1.02715095349259</v>
      </c>
      <c r="D447" s="8">
        <v>4.6533700828396397E-2</v>
      </c>
    </row>
    <row r="448" spans="1:4" x14ac:dyDescent="0.2">
      <c r="A448" s="8" t="s">
        <v>2182</v>
      </c>
      <c r="B448" s="8" t="s">
        <v>2183</v>
      </c>
      <c r="C448" s="8">
        <v>-2.0461970202383601</v>
      </c>
      <c r="D448" s="8">
        <v>4.3232945042018897E-2</v>
      </c>
    </row>
    <row r="449" spans="1:4" x14ac:dyDescent="0.2">
      <c r="A449" s="8" t="s">
        <v>2184</v>
      </c>
      <c r="B449" s="8" t="s">
        <v>2185</v>
      </c>
      <c r="C449" s="8">
        <v>-1.8323111617085099</v>
      </c>
      <c r="D449" s="8">
        <v>3.2528424775231497E-2</v>
      </c>
    </row>
    <row r="450" spans="1:4" x14ac:dyDescent="0.2">
      <c r="A450" s="8" t="s">
        <v>2186</v>
      </c>
      <c r="B450" s="8" t="s">
        <v>2187</v>
      </c>
      <c r="C450" s="8">
        <v>2.1636268480187599</v>
      </c>
      <c r="D450" s="8">
        <v>4.6529714385108098E-3</v>
      </c>
    </row>
    <row r="451" spans="1:4" x14ac:dyDescent="0.2">
      <c r="A451" s="8" t="s">
        <v>2188</v>
      </c>
      <c r="B451" s="8" t="s">
        <v>2189</v>
      </c>
      <c r="C451" s="8">
        <v>-1.40582374813833</v>
      </c>
      <c r="D451" s="8">
        <v>3.83964084215119E-3</v>
      </c>
    </row>
    <row r="452" spans="1:4" x14ac:dyDescent="0.2">
      <c r="A452" s="8" t="s">
        <v>2190</v>
      </c>
      <c r="B452" s="8" t="s">
        <v>2191</v>
      </c>
      <c r="C452" s="8">
        <v>1.06143651281486</v>
      </c>
      <c r="D452" s="8">
        <v>4.21864216397905E-2</v>
      </c>
    </row>
    <row r="453" spans="1:4" x14ac:dyDescent="0.2">
      <c r="A453" s="8" t="s">
        <v>2192</v>
      </c>
      <c r="B453" s="8" t="s">
        <v>2193</v>
      </c>
      <c r="C453" s="8">
        <v>1.88546127148344</v>
      </c>
      <c r="D453" s="8">
        <v>4.4386240022847002E-2</v>
      </c>
    </row>
    <row r="454" spans="1:4" x14ac:dyDescent="0.2">
      <c r="A454" s="8" t="s">
        <v>2194</v>
      </c>
      <c r="B454" s="8" t="s">
        <v>2195</v>
      </c>
      <c r="C454" s="8">
        <v>1.02505939033956</v>
      </c>
      <c r="D454" s="8">
        <v>2.4552884529092499E-2</v>
      </c>
    </row>
    <row r="455" spans="1:4" x14ac:dyDescent="0.2">
      <c r="A455" s="8" t="s">
        <v>2196</v>
      </c>
      <c r="B455" s="8" t="s">
        <v>2197</v>
      </c>
      <c r="C455" s="8">
        <v>1.1066602827124099</v>
      </c>
      <c r="D455" s="8">
        <v>8.2544930973078995E-3</v>
      </c>
    </row>
    <row r="456" spans="1:4" x14ac:dyDescent="0.2">
      <c r="A456" s="8" t="s">
        <v>2198</v>
      </c>
      <c r="B456" s="8" t="s">
        <v>2199</v>
      </c>
      <c r="C456" s="8">
        <v>-5.2068489600087098</v>
      </c>
      <c r="D456" s="8">
        <v>1.1646878503161E-2</v>
      </c>
    </row>
    <row r="457" spans="1:4" x14ac:dyDescent="0.2">
      <c r="A457" s="8" t="s">
        <v>2200</v>
      </c>
      <c r="B457" s="8" t="s">
        <v>2201</v>
      </c>
      <c r="C457" s="8">
        <v>-2.36876138311121</v>
      </c>
      <c r="D457" s="8">
        <v>4.9103200311228501E-2</v>
      </c>
    </row>
    <row r="458" spans="1:4" x14ac:dyDescent="0.2">
      <c r="A458" s="8" t="s">
        <v>2202</v>
      </c>
      <c r="B458" s="8" t="s">
        <v>2203</v>
      </c>
      <c r="C458" s="8">
        <v>-1.62499149071726</v>
      </c>
      <c r="D458" s="8">
        <v>2.0513836766213801E-2</v>
      </c>
    </row>
    <row r="459" spans="1:4" x14ac:dyDescent="0.2">
      <c r="A459" s="8" t="s">
        <v>2204</v>
      </c>
      <c r="B459" s="8" t="s">
        <v>2205</v>
      </c>
      <c r="C459" s="8">
        <v>1.7544726795788499</v>
      </c>
      <c r="D459" s="8">
        <v>3.7125019368050002E-2</v>
      </c>
    </row>
    <row r="460" spans="1:4" x14ac:dyDescent="0.2">
      <c r="A460" s="8" t="s">
        <v>2206</v>
      </c>
      <c r="B460" s="8" t="s">
        <v>2207</v>
      </c>
      <c r="C460" s="8">
        <v>2.0514194457530501</v>
      </c>
      <c r="D460" s="8">
        <v>3.7454258429711999E-2</v>
      </c>
    </row>
    <row r="461" spans="1:4" x14ac:dyDescent="0.2">
      <c r="A461" s="8" t="s">
        <v>2208</v>
      </c>
      <c r="B461" s="8" t="s">
        <v>2209</v>
      </c>
      <c r="C461" s="8">
        <v>1.05146658912629</v>
      </c>
      <c r="D461" s="8">
        <v>7.7411513889641603E-3</v>
      </c>
    </row>
    <row r="462" spans="1:4" x14ac:dyDescent="0.2">
      <c r="A462" s="8" t="s">
        <v>2210</v>
      </c>
      <c r="B462" s="8" t="s">
        <v>2211</v>
      </c>
      <c r="C462" s="8">
        <v>1.1297756693213099</v>
      </c>
      <c r="D462" s="8">
        <v>4.1387987969572498E-4</v>
      </c>
    </row>
    <row r="463" spans="1:4" x14ac:dyDescent="0.2">
      <c r="A463" s="8" t="s">
        <v>2212</v>
      </c>
      <c r="B463" s="8" t="s">
        <v>2213</v>
      </c>
      <c r="C463" s="8">
        <v>-1.1917337441679701</v>
      </c>
      <c r="D463" s="8">
        <v>2.05911733683216E-2</v>
      </c>
    </row>
    <row r="464" spans="1:4" x14ac:dyDescent="0.2">
      <c r="A464" s="8" t="s">
        <v>2214</v>
      </c>
      <c r="B464" s="8" t="s">
        <v>2215</v>
      </c>
      <c r="C464" s="8">
        <v>-1.5429295051877101</v>
      </c>
      <c r="D464" s="8">
        <v>2.5665830934049599E-2</v>
      </c>
    </row>
    <row r="465" spans="1:4" x14ac:dyDescent="0.2">
      <c r="A465" s="8" t="s">
        <v>2216</v>
      </c>
      <c r="B465" s="8" t="s">
        <v>2217</v>
      </c>
      <c r="C465" s="8">
        <v>1.60394291514021</v>
      </c>
      <c r="D465" s="8">
        <v>4.0266467215320799E-4</v>
      </c>
    </row>
    <row r="466" spans="1:4" x14ac:dyDescent="0.2">
      <c r="A466" s="8" t="s">
        <v>2218</v>
      </c>
      <c r="B466" s="8" t="s">
        <v>2219</v>
      </c>
      <c r="C466" s="8">
        <v>3.32478837995107</v>
      </c>
      <c r="D466" s="8">
        <v>3.84010686896003E-3</v>
      </c>
    </row>
    <row r="467" spans="1:4" x14ac:dyDescent="0.2">
      <c r="A467" s="8" t="s">
        <v>2220</v>
      </c>
      <c r="B467" s="8" t="s">
        <v>2221</v>
      </c>
      <c r="C467" s="8">
        <v>1.52266680974921</v>
      </c>
      <c r="D467" s="8">
        <v>4.6171231587732498E-4</v>
      </c>
    </row>
    <row r="468" spans="1:4" x14ac:dyDescent="0.2">
      <c r="A468" s="8" t="s">
        <v>2222</v>
      </c>
      <c r="B468" s="8" t="s">
        <v>2223</v>
      </c>
      <c r="C468" s="8">
        <v>-1.4591287180369099</v>
      </c>
      <c r="D468" s="8">
        <v>3.8895535990044403E-2</v>
      </c>
    </row>
    <row r="469" spans="1:4" x14ac:dyDescent="0.2">
      <c r="A469" s="8" t="s">
        <v>2224</v>
      </c>
      <c r="B469" s="8" t="s">
        <v>2225</v>
      </c>
      <c r="C469" s="8">
        <v>-3.0472719626856102</v>
      </c>
      <c r="D469" s="8">
        <v>3.7589821664261697E-2</v>
      </c>
    </row>
    <row r="470" spans="1:4" x14ac:dyDescent="0.2">
      <c r="A470" s="8" t="s">
        <v>2226</v>
      </c>
      <c r="B470" s="8" t="s">
        <v>2227</v>
      </c>
      <c r="C470" s="8">
        <v>1.30735634699782</v>
      </c>
      <c r="D470" s="8">
        <v>5.8595613541328898E-3</v>
      </c>
    </row>
    <row r="471" spans="1:4" x14ac:dyDescent="0.2">
      <c r="A471" s="8" t="s">
        <v>2228</v>
      </c>
      <c r="B471" s="8" t="s">
        <v>2229</v>
      </c>
      <c r="C471" s="8">
        <v>2.53130993043021</v>
      </c>
      <c r="D471" s="8">
        <v>3.1828538269996903E-2</v>
      </c>
    </row>
    <row r="472" spans="1:4" x14ac:dyDescent="0.2">
      <c r="A472" s="8" t="s">
        <v>2230</v>
      </c>
      <c r="B472" s="8" t="s">
        <v>2231</v>
      </c>
      <c r="C472" s="8">
        <v>-1.36509879566528</v>
      </c>
      <c r="D472" s="8">
        <v>3.7494974174111101E-2</v>
      </c>
    </row>
    <row r="473" spans="1:4" x14ac:dyDescent="0.2">
      <c r="A473" s="8" t="s">
        <v>2232</v>
      </c>
      <c r="B473" s="8" t="s">
        <v>2233</v>
      </c>
      <c r="C473" s="8">
        <v>-1.36632941841202</v>
      </c>
      <c r="D473" s="8">
        <v>1.0631035288551E-2</v>
      </c>
    </row>
    <row r="474" spans="1:4" x14ac:dyDescent="0.2">
      <c r="A474" s="8" t="s">
        <v>2234</v>
      </c>
      <c r="B474" s="8" t="s">
        <v>2235</v>
      </c>
      <c r="C474" s="8">
        <v>1.51934687441614</v>
      </c>
      <c r="D474" s="8">
        <v>3.5338886617308697E-2</v>
      </c>
    </row>
    <row r="475" spans="1:4" x14ac:dyDescent="0.2">
      <c r="A475" s="8" t="s">
        <v>2236</v>
      </c>
      <c r="B475" s="8" t="s">
        <v>2237</v>
      </c>
      <c r="C475" s="8">
        <v>1.28283620295031</v>
      </c>
      <c r="D475" s="8">
        <v>2.23925213566715E-3</v>
      </c>
    </row>
    <row r="476" spans="1:4" x14ac:dyDescent="0.2">
      <c r="A476" s="8" t="s">
        <v>2238</v>
      </c>
      <c r="B476" s="8" t="s">
        <v>2239</v>
      </c>
      <c r="C476" s="8">
        <v>3.6341405345355202</v>
      </c>
      <c r="D476" s="8">
        <v>3.3841118882392798E-3</v>
      </c>
    </row>
    <row r="477" spans="1:4" x14ac:dyDescent="0.2">
      <c r="A477" s="8" t="s">
        <v>2240</v>
      </c>
      <c r="B477" s="8" t="s">
        <v>2241</v>
      </c>
      <c r="C477" s="8">
        <v>1.7035435127686001</v>
      </c>
      <c r="D477" s="8">
        <v>1.54764366957344E-2</v>
      </c>
    </row>
    <row r="478" spans="1:4" x14ac:dyDescent="0.2">
      <c r="A478" s="8" t="s">
        <v>2242</v>
      </c>
      <c r="B478" s="8" t="s">
        <v>2243</v>
      </c>
      <c r="C478" s="8">
        <v>-1.69668556974033</v>
      </c>
      <c r="D478" s="8">
        <v>4.3513801302025201E-2</v>
      </c>
    </row>
    <row r="479" spans="1:4" x14ac:dyDescent="0.2">
      <c r="A479" s="8" t="s">
        <v>2244</v>
      </c>
      <c r="B479" s="8" t="s">
        <v>2245</v>
      </c>
      <c r="C479" s="8">
        <v>1.30996598160972</v>
      </c>
      <c r="D479" s="8">
        <v>1.34958405474867E-2</v>
      </c>
    </row>
    <row r="480" spans="1:4" x14ac:dyDescent="0.2">
      <c r="A480" s="8" t="s">
        <v>2246</v>
      </c>
      <c r="B480" s="8" t="s">
        <v>2247</v>
      </c>
      <c r="C480" s="8">
        <v>1.70037308636246</v>
      </c>
      <c r="D480" s="9">
        <v>4.9608002551760903E-5</v>
      </c>
    </row>
    <row r="481" spans="1:4" x14ac:dyDescent="0.2">
      <c r="A481" s="8" t="s">
        <v>2248</v>
      </c>
      <c r="B481" s="8" t="s">
        <v>2249</v>
      </c>
      <c r="C481" s="8">
        <v>-1.1923104123461099</v>
      </c>
      <c r="D481" s="8">
        <v>4.6641917033317298E-2</v>
      </c>
    </row>
    <row r="482" spans="1:4" x14ac:dyDescent="0.2">
      <c r="A482" s="8" t="s">
        <v>2250</v>
      </c>
      <c r="B482" s="8" t="s">
        <v>2251</v>
      </c>
      <c r="C482" s="8">
        <v>-1.61440617198009</v>
      </c>
      <c r="D482" s="8">
        <v>2.62542253369142E-2</v>
      </c>
    </row>
    <row r="483" spans="1:4" x14ac:dyDescent="0.2">
      <c r="A483" s="8" t="s">
        <v>2252</v>
      </c>
      <c r="B483" s="8" t="s">
        <v>2253</v>
      </c>
      <c r="C483" s="8">
        <v>-2.4417740790337099</v>
      </c>
      <c r="D483" s="8">
        <v>1.01258938844337E-2</v>
      </c>
    </row>
    <row r="484" spans="1:4" x14ac:dyDescent="0.2">
      <c r="A484" s="8" t="s">
        <v>2254</v>
      </c>
      <c r="B484" s="8" t="s">
        <v>2255</v>
      </c>
      <c r="C484" s="8">
        <v>1.4931814360656901</v>
      </c>
      <c r="D484" s="8">
        <v>3.9577015687955401E-2</v>
      </c>
    </row>
    <row r="485" spans="1:4" x14ac:dyDescent="0.2">
      <c r="A485" s="8" t="s">
        <v>2256</v>
      </c>
      <c r="B485" s="8" t="s">
        <v>2257</v>
      </c>
      <c r="C485" s="8">
        <v>-1.8899360209162399</v>
      </c>
      <c r="D485" s="8">
        <v>4.5404374344870302E-3</v>
      </c>
    </row>
    <row r="486" spans="1:4" x14ac:dyDescent="0.2">
      <c r="A486" s="8" t="s">
        <v>2258</v>
      </c>
      <c r="B486" s="8" t="s">
        <v>2259</v>
      </c>
      <c r="C486" s="8">
        <v>1.5302425111984099</v>
      </c>
      <c r="D486" s="8">
        <v>3.3163202028327302E-2</v>
      </c>
    </row>
    <row r="487" spans="1:4" x14ac:dyDescent="0.2">
      <c r="A487" s="8" t="s">
        <v>2260</v>
      </c>
      <c r="B487" s="8" t="s">
        <v>2261</v>
      </c>
      <c r="C487" s="8">
        <v>1.5614549447752899</v>
      </c>
      <c r="D487" s="8">
        <v>4.7640242138218903E-3</v>
      </c>
    </row>
    <row r="488" spans="1:4" x14ac:dyDescent="0.2">
      <c r="A488" s="8" t="s">
        <v>2262</v>
      </c>
      <c r="B488" s="8" t="s">
        <v>2263</v>
      </c>
      <c r="C488" s="8">
        <v>-2.3846921857333299</v>
      </c>
      <c r="D488" s="8">
        <v>2.6654856505853499E-2</v>
      </c>
    </row>
    <row r="489" spans="1:4" x14ac:dyDescent="0.2">
      <c r="A489" s="8" t="s">
        <v>2264</v>
      </c>
      <c r="B489" s="8" t="s">
        <v>2265</v>
      </c>
      <c r="C489" s="8">
        <v>1.4012843532868899</v>
      </c>
      <c r="D489" s="8">
        <v>2.45129825987296E-2</v>
      </c>
    </row>
    <row r="490" spans="1:4" x14ac:dyDescent="0.2">
      <c r="A490" s="8" t="s">
        <v>2266</v>
      </c>
      <c r="B490" s="8" t="s">
        <v>2267</v>
      </c>
      <c r="C490" s="8">
        <v>-1.34540757940394</v>
      </c>
      <c r="D490" s="8">
        <v>4.9713097408219102E-2</v>
      </c>
    </row>
    <row r="491" spans="1:4" x14ac:dyDescent="0.2">
      <c r="A491" s="8" t="s">
        <v>2268</v>
      </c>
      <c r="B491" s="8" t="s">
        <v>2269</v>
      </c>
      <c r="C491" s="8">
        <v>-3.0930264055960399</v>
      </c>
      <c r="D491" s="8">
        <v>4.3788649117755896E-3</v>
      </c>
    </row>
    <row r="492" spans="1:4" x14ac:dyDescent="0.2">
      <c r="A492" s="8" t="s">
        <v>2270</v>
      </c>
      <c r="B492" s="8" t="s">
        <v>2271</v>
      </c>
      <c r="C492" s="8">
        <v>-1.93402205371763</v>
      </c>
      <c r="D492" s="8">
        <v>1.67976682738997E-3</v>
      </c>
    </row>
    <row r="493" spans="1:4" x14ac:dyDescent="0.2">
      <c r="A493" s="8" t="s">
        <v>2272</v>
      </c>
      <c r="B493" s="8" t="s">
        <v>2273</v>
      </c>
      <c r="C493" s="8">
        <v>-3.3653327134161901</v>
      </c>
      <c r="D493" s="8">
        <v>1.1049072583490799E-2</v>
      </c>
    </row>
    <row r="494" spans="1:4" x14ac:dyDescent="0.2">
      <c r="A494" s="8" t="s">
        <v>2274</v>
      </c>
      <c r="B494" s="8" t="s">
        <v>2275</v>
      </c>
      <c r="C494" s="8">
        <v>-2.6277697576042298</v>
      </c>
      <c r="D494" s="8">
        <v>1.5235895993085301E-2</v>
      </c>
    </row>
    <row r="495" spans="1:4" x14ac:dyDescent="0.2">
      <c r="A495" s="8" t="s">
        <v>2276</v>
      </c>
      <c r="B495" s="8" t="s">
        <v>2277</v>
      </c>
      <c r="C495" s="8">
        <v>-3.2474869920137399</v>
      </c>
      <c r="D495" s="8">
        <v>1.58540014582703E-2</v>
      </c>
    </row>
    <row r="496" spans="1:4" x14ac:dyDescent="0.2">
      <c r="A496" s="8" t="s">
        <v>2278</v>
      </c>
      <c r="B496" s="8" t="s">
        <v>2279</v>
      </c>
      <c r="C496" s="8">
        <v>-2.7078158142133799</v>
      </c>
      <c r="D496" s="8">
        <v>8.2376245356444199E-4</v>
      </c>
    </row>
    <row r="497" spans="1:4" x14ac:dyDescent="0.2">
      <c r="A497" s="8" t="s">
        <v>2280</v>
      </c>
      <c r="B497" s="8" t="s">
        <v>2281</v>
      </c>
      <c r="C497" s="8">
        <v>1.50759731602554</v>
      </c>
      <c r="D497" s="8">
        <v>7.2663497857744404E-3</v>
      </c>
    </row>
    <row r="498" spans="1:4" x14ac:dyDescent="0.2">
      <c r="A498" s="8" t="s">
        <v>2282</v>
      </c>
      <c r="B498" s="8" t="s">
        <v>2283</v>
      </c>
      <c r="C498" s="8">
        <v>1.8998848144673199</v>
      </c>
      <c r="D498" s="8">
        <v>1.3763334677439299E-2</v>
      </c>
    </row>
    <row r="499" spans="1:4" x14ac:dyDescent="0.2">
      <c r="A499" s="8" t="s">
        <v>2284</v>
      </c>
      <c r="B499" s="8" t="s">
        <v>1409</v>
      </c>
      <c r="C499" s="8">
        <v>2.4412792077545298</v>
      </c>
      <c r="D499" s="8">
        <v>1.79004989391757E-2</v>
      </c>
    </row>
    <row r="500" spans="1:4" x14ac:dyDescent="0.2">
      <c r="A500" s="8" t="s">
        <v>2285</v>
      </c>
      <c r="B500" s="8" t="s">
        <v>2286</v>
      </c>
      <c r="C500" s="8">
        <v>-1.4668373431203099</v>
      </c>
      <c r="D500" s="8">
        <v>4.6809302233395599E-2</v>
      </c>
    </row>
    <row r="501" spans="1:4" x14ac:dyDescent="0.2">
      <c r="A501" s="8" t="s">
        <v>2287</v>
      </c>
      <c r="B501" s="8" t="s">
        <v>2288</v>
      </c>
      <c r="C501" s="8">
        <v>-1.44608462039157</v>
      </c>
      <c r="D501" s="8">
        <v>2.9925805368079001E-2</v>
      </c>
    </row>
    <row r="502" spans="1:4" x14ac:dyDescent="0.2">
      <c r="A502" s="8" t="s">
        <v>2289</v>
      </c>
      <c r="B502" s="8" t="s">
        <v>2290</v>
      </c>
      <c r="C502" s="8">
        <v>-2.4128442811808402</v>
      </c>
      <c r="D502" s="8">
        <v>3.6833043417970002E-2</v>
      </c>
    </row>
    <row r="503" spans="1:4" x14ac:dyDescent="0.2">
      <c r="A503" s="8" t="s">
        <v>2291</v>
      </c>
      <c r="B503" s="8" t="s">
        <v>2292</v>
      </c>
      <c r="C503" s="8">
        <v>-1.1516034907306001</v>
      </c>
      <c r="D503" s="8">
        <v>1.3709091904321399E-3</v>
      </c>
    </row>
    <row r="504" spans="1:4" x14ac:dyDescent="0.2">
      <c r="A504" s="8" t="s">
        <v>2293</v>
      </c>
      <c r="B504" s="8" t="s">
        <v>2294</v>
      </c>
      <c r="C504" s="8">
        <v>2.8477422947590898</v>
      </c>
      <c r="D504" s="9">
        <v>4.2822444438521302E-5</v>
      </c>
    </row>
    <row r="505" spans="1:4" x14ac:dyDescent="0.2">
      <c r="A505" s="8" t="s">
        <v>2295</v>
      </c>
      <c r="B505" s="8" t="s">
        <v>2296</v>
      </c>
      <c r="C505" s="8">
        <v>2.6327140907739399</v>
      </c>
      <c r="D505" s="8">
        <v>1.5793712023971899E-3</v>
      </c>
    </row>
    <row r="506" spans="1:4" x14ac:dyDescent="0.2">
      <c r="A506" s="8" t="s">
        <v>2297</v>
      </c>
      <c r="B506" s="8" t="s">
        <v>2298</v>
      </c>
      <c r="C506" s="8">
        <v>-3.2303095583167001</v>
      </c>
      <c r="D506" s="8">
        <v>1.9248497239721499E-2</v>
      </c>
    </row>
    <row r="507" spans="1:4" x14ac:dyDescent="0.2">
      <c r="A507" s="8" t="s">
        <v>2299</v>
      </c>
      <c r="B507" s="8" t="s">
        <v>2300</v>
      </c>
      <c r="C507" s="8">
        <v>-3.3475642184181198</v>
      </c>
      <c r="D507" s="8">
        <v>1.0038132917619199E-2</v>
      </c>
    </row>
    <row r="508" spans="1:4" x14ac:dyDescent="0.2">
      <c r="A508" s="8" t="s">
        <v>2301</v>
      </c>
      <c r="B508" s="8" t="s">
        <v>2302</v>
      </c>
      <c r="C508" s="8">
        <v>-2.4622348972655299</v>
      </c>
      <c r="D508" s="8">
        <v>4.5635126417170997E-2</v>
      </c>
    </row>
    <row r="509" spans="1:4" x14ac:dyDescent="0.2">
      <c r="A509" s="8" t="s">
        <v>2303</v>
      </c>
      <c r="B509" s="8" t="s">
        <v>2304</v>
      </c>
      <c r="C509" s="8">
        <v>-2.87339507288412</v>
      </c>
      <c r="D509" s="8">
        <v>1.7578810499140601E-2</v>
      </c>
    </row>
    <row r="510" spans="1:4" x14ac:dyDescent="0.2">
      <c r="A510" s="8" t="s">
        <v>2305</v>
      </c>
      <c r="B510" s="8" t="s">
        <v>2306</v>
      </c>
      <c r="C510" s="8">
        <v>-1.9125065047080401</v>
      </c>
      <c r="D510" s="8">
        <v>2.6194802975100202E-2</v>
      </c>
    </row>
    <row r="511" spans="1:4" x14ac:dyDescent="0.2">
      <c r="A511" s="8" t="s">
        <v>2307</v>
      </c>
      <c r="B511" s="8" t="s">
        <v>2308</v>
      </c>
      <c r="C511" s="8">
        <v>-1.66639524442405</v>
      </c>
      <c r="D511" s="8">
        <v>2.7637361291518499E-2</v>
      </c>
    </row>
    <row r="512" spans="1:4" x14ac:dyDescent="0.2">
      <c r="A512" s="8" t="s">
        <v>2309</v>
      </c>
      <c r="B512" s="8" t="s">
        <v>2310</v>
      </c>
      <c r="C512" s="8">
        <v>-2.2636519338628198</v>
      </c>
      <c r="D512" s="8">
        <v>4.8019007105636502E-2</v>
      </c>
    </row>
    <row r="513" spans="1:4" x14ac:dyDescent="0.2">
      <c r="A513" s="8" t="s">
        <v>2311</v>
      </c>
      <c r="B513" s="8" t="s">
        <v>2312</v>
      </c>
      <c r="C513" s="8">
        <v>3.0992960760599</v>
      </c>
      <c r="D513" s="9">
        <v>8.9664099941022201E-5</v>
      </c>
    </row>
    <row r="514" spans="1:4" x14ac:dyDescent="0.2">
      <c r="A514" s="8" t="s">
        <v>2313</v>
      </c>
      <c r="B514" s="8" t="s">
        <v>2314</v>
      </c>
      <c r="C514" s="8">
        <v>1.31563272527607</v>
      </c>
      <c r="D514" s="8">
        <v>2.4581177608653301E-2</v>
      </c>
    </row>
    <row r="515" spans="1:4" x14ac:dyDescent="0.2">
      <c r="A515" s="8" t="s">
        <v>2315</v>
      </c>
      <c r="B515" s="8" t="s">
        <v>2316</v>
      </c>
      <c r="C515" s="8">
        <v>1.33234151344337</v>
      </c>
      <c r="D515" s="8">
        <v>9.4137096804490701E-4</v>
      </c>
    </row>
    <row r="516" spans="1:4" x14ac:dyDescent="0.2">
      <c r="A516" s="8" t="s">
        <v>2317</v>
      </c>
      <c r="B516" s="8" t="s">
        <v>2318</v>
      </c>
      <c r="C516" s="8">
        <v>1.7751026269721599</v>
      </c>
      <c r="D516" s="8">
        <v>3.45279933151472E-2</v>
      </c>
    </row>
    <row r="517" spans="1:4" x14ac:dyDescent="0.2">
      <c r="A517" s="8" t="s">
        <v>2319</v>
      </c>
      <c r="B517" s="8" t="s">
        <v>2320</v>
      </c>
      <c r="C517" s="8">
        <v>2.3403965016854</v>
      </c>
      <c r="D517" s="8">
        <v>4.1516796717806998E-4</v>
      </c>
    </row>
    <row r="518" spans="1:4" x14ac:dyDescent="0.2">
      <c r="A518" s="8" t="s">
        <v>2321</v>
      </c>
      <c r="B518" s="8" t="s">
        <v>2322</v>
      </c>
      <c r="C518" s="8">
        <v>-1.20082631847432</v>
      </c>
      <c r="D518" s="8">
        <v>3.4682533822355199E-2</v>
      </c>
    </row>
    <row r="519" spans="1:4" x14ac:dyDescent="0.2">
      <c r="A519" s="8" t="s">
        <v>2323</v>
      </c>
      <c r="B519" s="8" t="s">
        <v>2324</v>
      </c>
      <c r="C519" s="8">
        <v>-5.6129495267275002</v>
      </c>
      <c r="D519" s="8">
        <v>2.3712929622585698E-3</v>
      </c>
    </row>
    <row r="520" spans="1:4" x14ac:dyDescent="0.2">
      <c r="A520" s="8" t="s">
        <v>2325</v>
      </c>
      <c r="B520" s="8" t="s">
        <v>2326</v>
      </c>
      <c r="C520" s="8">
        <v>1.1406291448372901</v>
      </c>
      <c r="D520" s="8">
        <v>1.53462667245458E-3</v>
      </c>
    </row>
    <row r="521" spans="1:4" x14ac:dyDescent="0.2">
      <c r="A521" s="8" t="s">
        <v>2327</v>
      </c>
      <c r="B521" s="8" t="s">
        <v>2328</v>
      </c>
      <c r="C521" s="8">
        <v>1.2793638375155201</v>
      </c>
      <c r="D521" s="8">
        <v>1.00818564594588E-4</v>
      </c>
    </row>
    <row r="522" spans="1:4" x14ac:dyDescent="0.2">
      <c r="A522" s="8" t="s">
        <v>2329</v>
      </c>
      <c r="B522" s="8" t="s">
        <v>2330</v>
      </c>
      <c r="C522" s="8">
        <v>1.9765866031142001</v>
      </c>
      <c r="D522" s="8">
        <v>2.5610404459591701E-2</v>
      </c>
    </row>
    <row r="523" spans="1:4" x14ac:dyDescent="0.2">
      <c r="A523" s="8" t="s">
        <v>2331</v>
      </c>
      <c r="B523" s="8" t="s">
        <v>2332</v>
      </c>
      <c r="C523" s="8">
        <v>-2.07114973886803</v>
      </c>
      <c r="D523" s="8">
        <v>1.4041438957427E-2</v>
      </c>
    </row>
    <row r="524" spans="1:4" x14ac:dyDescent="0.2">
      <c r="A524" s="8" t="s">
        <v>2333</v>
      </c>
      <c r="B524" s="8" t="s">
        <v>2334</v>
      </c>
      <c r="C524" s="8">
        <v>-2.0553254718951699</v>
      </c>
      <c r="D524" s="8">
        <v>3.4430897540109903E-2</v>
      </c>
    </row>
    <row r="525" spans="1:4" x14ac:dyDescent="0.2">
      <c r="A525" s="8" t="s">
        <v>2335</v>
      </c>
      <c r="B525" s="8" t="s">
        <v>2336</v>
      </c>
      <c r="C525" s="8">
        <v>1.2034955421675499</v>
      </c>
      <c r="D525" s="8">
        <v>1.78629524284482E-3</v>
      </c>
    </row>
    <row r="526" spans="1:4" x14ac:dyDescent="0.2">
      <c r="A526" s="8" t="s">
        <v>2337</v>
      </c>
      <c r="B526" s="8" t="s">
        <v>2338</v>
      </c>
      <c r="C526" s="8">
        <v>-1.5259239667661399</v>
      </c>
      <c r="D526" s="8">
        <v>7.2999451104091399E-4</v>
      </c>
    </row>
    <row r="527" spans="1:4" x14ac:dyDescent="0.2">
      <c r="A527" s="8" t="s">
        <v>2339</v>
      </c>
      <c r="B527" s="8" t="s">
        <v>2340</v>
      </c>
      <c r="C527" s="8">
        <v>-1.9086880351295601</v>
      </c>
      <c r="D527" s="8">
        <v>4.6234094013873503E-2</v>
      </c>
    </row>
    <row r="528" spans="1:4" x14ac:dyDescent="0.2">
      <c r="A528" s="8" t="s">
        <v>2341</v>
      </c>
      <c r="B528" s="8" t="s">
        <v>2342</v>
      </c>
      <c r="C528" s="8">
        <v>2.2193458778664601</v>
      </c>
      <c r="D528" s="8">
        <v>6.3668571483084697E-4</v>
      </c>
    </row>
    <row r="529" spans="1:4" x14ac:dyDescent="0.2">
      <c r="A529" s="8" t="s">
        <v>2343</v>
      </c>
      <c r="B529" s="8" t="s">
        <v>2344</v>
      </c>
      <c r="C529" s="8">
        <v>-2.1309397598165498</v>
      </c>
      <c r="D529" s="8">
        <v>4.0827832260349299E-2</v>
      </c>
    </row>
    <row r="530" spans="1:4" x14ac:dyDescent="0.2">
      <c r="A530" s="8" t="s">
        <v>2345</v>
      </c>
      <c r="B530" s="8" t="s">
        <v>2346</v>
      </c>
      <c r="C530" s="8">
        <v>1.05398287968017</v>
      </c>
      <c r="D530" s="8">
        <v>1.19907801821021E-2</v>
      </c>
    </row>
    <row r="531" spans="1:4" x14ac:dyDescent="0.2">
      <c r="A531" s="8" t="s">
        <v>2347</v>
      </c>
      <c r="B531" s="8" t="s">
        <v>2348</v>
      </c>
      <c r="C531" s="8">
        <v>1.36449237647488</v>
      </c>
      <c r="D531" s="8">
        <v>6.28719546870071E-3</v>
      </c>
    </row>
    <row r="532" spans="1:4" x14ac:dyDescent="0.2">
      <c r="A532" s="8" t="s">
        <v>2349</v>
      </c>
      <c r="B532" s="8" t="s">
        <v>2350</v>
      </c>
      <c r="C532" s="8">
        <v>-2.31186802966752</v>
      </c>
      <c r="D532" s="8">
        <v>1.9566645993366799E-2</v>
      </c>
    </row>
    <row r="533" spans="1:4" x14ac:dyDescent="0.2">
      <c r="A533" s="8" t="s">
        <v>2351</v>
      </c>
      <c r="B533" s="8" t="s">
        <v>2352</v>
      </c>
      <c r="C533" s="8">
        <v>1.3786599266603199</v>
      </c>
      <c r="D533" s="8">
        <v>6.3714318779098996E-3</v>
      </c>
    </row>
    <row r="534" spans="1:4" x14ac:dyDescent="0.2">
      <c r="A534" s="8" t="s">
        <v>2353</v>
      </c>
      <c r="B534" s="8" t="s">
        <v>2354</v>
      </c>
      <c r="C534" s="8">
        <v>-2.3117935789737398</v>
      </c>
      <c r="D534" s="9">
        <v>5.66587004919347E-5</v>
      </c>
    </row>
    <row r="535" spans="1:4" x14ac:dyDescent="0.2">
      <c r="A535" s="8" t="s">
        <v>2355</v>
      </c>
      <c r="B535" s="8" t="s">
        <v>2356</v>
      </c>
      <c r="C535" s="8">
        <v>-1.80759847169994</v>
      </c>
      <c r="D535" s="8">
        <v>4.2711640984002498E-3</v>
      </c>
    </row>
    <row r="536" spans="1:4" x14ac:dyDescent="0.2">
      <c r="A536" s="8" t="s">
        <v>2357</v>
      </c>
      <c r="B536" s="8" t="s">
        <v>2358</v>
      </c>
      <c r="C536" s="8">
        <v>-1.2990618274907799</v>
      </c>
      <c r="D536" s="8">
        <v>3.9101368899459699E-2</v>
      </c>
    </row>
    <row r="537" spans="1:4" x14ac:dyDescent="0.2">
      <c r="A537" s="8" t="s">
        <v>2359</v>
      </c>
      <c r="B537" s="8" t="s">
        <v>2360</v>
      </c>
      <c r="C537" s="8">
        <v>-2.38617936886846</v>
      </c>
      <c r="D537" s="8">
        <v>2.2443126881180199E-2</v>
      </c>
    </row>
    <row r="538" spans="1:4" x14ac:dyDescent="0.2">
      <c r="A538" s="8" t="s">
        <v>2361</v>
      </c>
      <c r="B538" s="8" t="s">
        <v>2362</v>
      </c>
      <c r="C538" s="8">
        <v>-1.1020980461113301</v>
      </c>
      <c r="D538" s="8">
        <v>4.6123516626353804E-3</v>
      </c>
    </row>
    <row r="539" spans="1:4" x14ac:dyDescent="0.2">
      <c r="A539" s="8" t="s">
        <v>2363</v>
      </c>
      <c r="B539" s="8" t="s">
        <v>2364</v>
      </c>
      <c r="C539" s="8">
        <v>1.932970573442</v>
      </c>
      <c r="D539" s="8">
        <v>3.3315148385184802E-3</v>
      </c>
    </row>
    <row r="540" spans="1:4" x14ac:dyDescent="0.2">
      <c r="A540" s="8" t="s">
        <v>2365</v>
      </c>
      <c r="B540" s="8" t="s">
        <v>2366</v>
      </c>
      <c r="C540" s="8">
        <v>1.43842590531299</v>
      </c>
      <c r="D540" s="8">
        <v>6.0879236685141298E-3</v>
      </c>
    </row>
    <row r="541" spans="1:4" x14ac:dyDescent="0.2">
      <c r="A541" s="8" t="s">
        <v>2367</v>
      </c>
      <c r="B541" s="8" t="s">
        <v>2368</v>
      </c>
      <c r="C541" s="8">
        <v>1.33405097203448</v>
      </c>
      <c r="D541" s="8">
        <v>7.9650609583118304E-3</v>
      </c>
    </row>
    <row r="542" spans="1:4" x14ac:dyDescent="0.2">
      <c r="A542" s="8" t="s">
        <v>2369</v>
      </c>
      <c r="B542" s="8" t="s">
        <v>2370</v>
      </c>
      <c r="C542" s="8">
        <v>1.52817031091893</v>
      </c>
      <c r="D542" s="8">
        <v>2.2695855995496199E-4</v>
      </c>
    </row>
    <row r="543" spans="1:4" x14ac:dyDescent="0.2">
      <c r="A543" s="8" t="s">
        <v>2371</v>
      </c>
      <c r="B543" s="8" t="s">
        <v>2372</v>
      </c>
      <c r="C543" s="8">
        <v>1.5488152055364399</v>
      </c>
      <c r="D543" s="8">
        <v>1.72008144034177E-2</v>
      </c>
    </row>
    <row r="544" spans="1:4" x14ac:dyDescent="0.2">
      <c r="A544" s="8" t="s">
        <v>2373</v>
      </c>
      <c r="B544" s="8" t="s">
        <v>2374</v>
      </c>
      <c r="C544" s="8">
        <v>-2.46220627425966</v>
      </c>
      <c r="D544" s="8">
        <v>6.3360258621645096E-4</v>
      </c>
    </row>
    <row r="545" spans="1:4" x14ac:dyDescent="0.2">
      <c r="A545" s="8" t="s">
        <v>2375</v>
      </c>
      <c r="B545" s="8" t="s">
        <v>2376</v>
      </c>
      <c r="C545" s="8">
        <v>-1.9984948392250399</v>
      </c>
      <c r="D545" s="8">
        <v>3.0783155766948199E-2</v>
      </c>
    </row>
    <row r="546" spans="1:4" x14ac:dyDescent="0.2">
      <c r="A546" s="8" t="s">
        <v>2377</v>
      </c>
      <c r="B546" s="8" t="s">
        <v>2378</v>
      </c>
      <c r="C546" s="8">
        <v>1.06555426565046</v>
      </c>
      <c r="D546" s="8">
        <v>2.5869163363750398E-2</v>
      </c>
    </row>
    <row r="547" spans="1:4" x14ac:dyDescent="0.2">
      <c r="A547" s="8" t="s">
        <v>2379</v>
      </c>
      <c r="B547" s="8" t="s">
        <v>2380</v>
      </c>
      <c r="C547" s="8">
        <v>2.7820926136613302</v>
      </c>
      <c r="D547" s="8">
        <v>4.5801993056419098E-2</v>
      </c>
    </row>
    <row r="548" spans="1:4" x14ac:dyDescent="0.2">
      <c r="A548" s="8" t="s">
        <v>2381</v>
      </c>
      <c r="B548" s="8" t="s">
        <v>2382</v>
      </c>
      <c r="C548" s="8">
        <v>1.2701118512195699</v>
      </c>
      <c r="D548" s="8">
        <v>4.1253882023790003E-2</v>
      </c>
    </row>
    <row r="549" spans="1:4" x14ac:dyDescent="0.2">
      <c r="A549" s="8" t="s">
        <v>2383</v>
      </c>
      <c r="B549" s="8" t="s">
        <v>2384</v>
      </c>
      <c r="C549" s="8">
        <v>-1.1505757501216201</v>
      </c>
      <c r="D549" s="8">
        <v>3.1342057738268501E-2</v>
      </c>
    </row>
    <row r="550" spans="1:4" x14ac:dyDescent="0.2">
      <c r="A550" s="8" t="s">
        <v>2385</v>
      </c>
      <c r="B550" s="8" t="s">
        <v>2386</v>
      </c>
      <c r="C550" s="8">
        <v>1.3350710353469399</v>
      </c>
      <c r="D550" s="8">
        <v>4.07001738376193E-2</v>
      </c>
    </row>
    <row r="551" spans="1:4" x14ac:dyDescent="0.2">
      <c r="A551" s="8" t="s">
        <v>2387</v>
      </c>
      <c r="B551" s="8" t="s">
        <v>2388</v>
      </c>
      <c r="C551" s="8">
        <v>1.7637172513544901</v>
      </c>
      <c r="D551" s="8">
        <v>1.54261029258973E-2</v>
      </c>
    </row>
    <row r="552" spans="1:4" x14ac:dyDescent="0.2">
      <c r="A552" s="8" t="s">
        <v>2389</v>
      </c>
      <c r="B552" s="8" t="s">
        <v>2390</v>
      </c>
      <c r="C552" s="8">
        <v>1.09515278851461</v>
      </c>
      <c r="D552" s="8">
        <v>1.0997782461571501E-2</v>
      </c>
    </row>
    <row r="553" spans="1:4" x14ac:dyDescent="0.2">
      <c r="A553" s="8" t="s">
        <v>2391</v>
      </c>
      <c r="B553" s="8" t="s">
        <v>2392</v>
      </c>
      <c r="C553" s="8">
        <v>-1.9531704393693501</v>
      </c>
      <c r="D553" s="8">
        <v>3.5197157340408597E-2</v>
      </c>
    </row>
    <row r="554" spans="1:4" x14ac:dyDescent="0.2">
      <c r="A554" s="8" t="s">
        <v>2393</v>
      </c>
      <c r="B554" s="8" t="s">
        <v>2394</v>
      </c>
      <c r="C554" s="8">
        <v>-1.7565099568746401</v>
      </c>
      <c r="D554" s="8">
        <v>1.19854842312241E-2</v>
      </c>
    </row>
    <row r="555" spans="1:4" x14ac:dyDescent="0.2">
      <c r="A555" s="8" t="s">
        <v>2395</v>
      </c>
      <c r="B555" s="8" t="s">
        <v>2396</v>
      </c>
      <c r="C555" s="8">
        <v>-1.9917514880285401</v>
      </c>
      <c r="D555" s="8">
        <v>1.7978423890351401E-3</v>
      </c>
    </row>
    <row r="556" spans="1:4" x14ac:dyDescent="0.2">
      <c r="A556" s="8" t="s">
        <v>2397</v>
      </c>
      <c r="B556" s="8" t="s">
        <v>2398</v>
      </c>
      <c r="C556" s="8">
        <v>2.4082470603779398</v>
      </c>
      <c r="D556" s="8">
        <v>2.9276884984104801E-2</v>
      </c>
    </row>
    <row r="557" spans="1:4" x14ac:dyDescent="0.2">
      <c r="A557" s="8" t="s">
        <v>2399</v>
      </c>
      <c r="B557" s="8" t="s">
        <v>2400</v>
      </c>
      <c r="C557" s="8">
        <v>1.1843162230604301</v>
      </c>
      <c r="D557" s="8">
        <v>7.9924175336053595E-3</v>
      </c>
    </row>
    <row r="558" spans="1:4" x14ac:dyDescent="0.2">
      <c r="A558" s="8" t="s">
        <v>2401</v>
      </c>
      <c r="B558" s="8" t="s">
        <v>2402</v>
      </c>
      <c r="C558" s="8">
        <v>2.2933710139882302</v>
      </c>
      <c r="D558" s="8">
        <v>3.6882848190471799E-3</v>
      </c>
    </row>
    <row r="559" spans="1:4" x14ac:dyDescent="0.2">
      <c r="A559" s="8" t="s">
        <v>2403</v>
      </c>
      <c r="B559" s="8" t="s">
        <v>2404</v>
      </c>
      <c r="C559" s="8">
        <v>2.42118672801065</v>
      </c>
      <c r="D559" s="8">
        <v>5.00224138053062E-4</v>
      </c>
    </row>
    <row r="560" spans="1:4" x14ac:dyDescent="0.2">
      <c r="A560" s="8" t="s">
        <v>2405</v>
      </c>
      <c r="B560" s="8" t="s">
        <v>2406</v>
      </c>
      <c r="C560" s="8">
        <v>1.3349180404599299</v>
      </c>
      <c r="D560" s="8">
        <v>4.7625741441229198E-2</v>
      </c>
    </row>
    <row r="561" spans="1:4" x14ac:dyDescent="0.2">
      <c r="A561" s="8" t="s">
        <v>2407</v>
      </c>
      <c r="B561" s="8" t="s">
        <v>2408</v>
      </c>
      <c r="C561" s="8">
        <v>2.2215219389091398</v>
      </c>
      <c r="D561" s="8">
        <v>3.6081633802321801E-2</v>
      </c>
    </row>
    <row r="562" spans="1:4" x14ac:dyDescent="0.2">
      <c r="A562" s="8" t="s">
        <v>2409</v>
      </c>
      <c r="B562" s="8" t="s">
        <v>2410</v>
      </c>
      <c r="C562" s="8">
        <v>1.1476303499585701</v>
      </c>
      <c r="D562" s="8">
        <v>9.2696176946744993E-3</v>
      </c>
    </row>
    <row r="563" spans="1:4" x14ac:dyDescent="0.2">
      <c r="A563" s="8" t="s">
        <v>2411</v>
      </c>
      <c r="B563" s="8" t="s">
        <v>2412</v>
      </c>
      <c r="C563" s="8">
        <v>1.5549561536685499</v>
      </c>
      <c r="D563" s="8">
        <v>1.90233089695277E-2</v>
      </c>
    </row>
    <row r="564" spans="1:4" x14ac:dyDescent="0.2">
      <c r="A564" s="8" t="s">
        <v>2413</v>
      </c>
      <c r="B564" s="8" t="s">
        <v>2414</v>
      </c>
      <c r="C564" s="8">
        <v>-2.57324568300761</v>
      </c>
      <c r="D564" s="8">
        <v>2.6458198312259099E-2</v>
      </c>
    </row>
    <row r="565" spans="1:4" x14ac:dyDescent="0.2">
      <c r="A565" s="8" t="s">
        <v>2415</v>
      </c>
      <c r="B565" s="8" t="s">
        <v>2416</v>
      </c>
      <c r="C565" s="8">
        <v>5.27326791829078</v>
      </c>
      <c r="D565" s="8">
        <v>3.5931496519506202E-2</v>
      </c>
    </row>
    <row r="566" spans="1:4" x14ac:dyDescent="0.2">
      <c r="A566" s="8" t="s">
        <v>2417</v>
      </c>
      <c r="B566" s="8" t="s">
        <v>2418</v>
      </c>
      <c r="C566" s="8">
        <v>-3.3708821329301402</v>
      </c>
      <c r="D566" s="8">
        <v>2.6017210683076601E-2</v>
      </c>
    </row>
    <row r="567" spans="1:4" x14ac:dyDescent="0.2">
      <c r="A567" s="8" t="s">
        <v>2419</v>
      </c>
      <c r="B567" s="8" t="s">
        <v>2420</v>
      </c>
      <c r="C567" s="8">
        <v>2.38419027836636</v>
      </c>
      <c r="D567" s="8">
        <v>8.1379976670829905E-3</v>
      </c>
    </row>
    <row r="568" spans="1:4" x14ac:dyDescent="0.2">
      <c r="A568" s="8" t="s">
        <v>2421</v>
      </c>
      <c r="B568" s="8" t="s">
        <v>2422</v>
      </c>
      <c r="C568" s="8">
        <v>1.22178777075916</v>
      </c>
      <c r="D568" s="8">
        <v>1.4492507166692899E-3</v>
      </c>
    </row>
    <row r="569" spans="1:4" x14ac:dyDescent="0.2">
      <c r="A569" s="8" t="s">
        <v>2423</v>
      </c>
      <c r="B569" s="8" t="s">
        <v>2424</v>
      </c>
      <c r="C569" s="8">
        <v>-1.66905242831287</v>
      </c>
      <c r="D569" s="9">
        <v>8.9188460407436799E-5</v>
      </c>
    </row>
    <row r="570" spans="1:4" x14ac:dyDescent="0.2">
      <c r="A570" s="8" t="s">
        <v>2425</v>
      </c>
      <c r="B570" s="8" t="s">
        <v>2426</v>
      </c>
      <c r="C570" s="8">
        <v>-2.5732908570891899</v>
      </c>
      <c r="D570" s="8">
        <v>3.1414596014796403E-2</v>
      </c>
    </row>
    <row r="571" spans="1:4" x14ac:dyDescent="0.2">
      <c r="A571" s="8" t="s">
        <v>2427</v>
      </c>
      <c r="B571" s="8" t="s">
        <v>2428</v>
      </c>
      <c r="C571" s="8">
        <v>-1.04627597078162</v>
      </c>
      <c r="D571" s="8">
        <v>1.1670348807208001E-2</v>
      </c>
    </row>
    <row r="572" spans="1:4" x14ac:dyDescent="0.2">
      <c r="A572" s="8" t="s">
        <v>2429</v>
      </c>
      <c r="B572" s="8" t="s">
        <v>2430</v>
      </c>
      <c r="C572" s="8">
        <v>-2.7695735151394798</v>
      </c>
      <c r="D572" s="9">
        <v>8.6846652754670196E-5</v>
      </c>
    </row>
    <row r="573" spans="1:4" x14ac:dyDescent="0.2">
      <c r="A573" s="8" t="s">
        <v>2431</v>
      </c>
      <c r="B573" s="8" t="s">
        <v>2432</v>
      </c>
      <c r="C573" s="8">
        <v>-2.76493901876538</v>
      </c>
      <c r="D573" s="8">
        <v>5.15853669074255E-3</v>
      </c>
    </row>
    <row r="574" spans="1:4" x14ac:dyDescent="0.2">
      <c r="A574" s="8" t="s">
        <v>2433</v>
      </c>
      <c r="B574" s="8" t="s">
        <v>2434</v>
      </c>
      <c r="C574" s="8">
        <v>-1.58829902385565</v>
      </c>
      <c r="D574" s="8">
        <v>2.9614363208290799E-2</v>
      </c>
    </row>
    <row r="575" spans="1:4" x14ac:dyDescent="0.2">
      <c r="A575" s="8" t="s">
        <v>2435</v>
      </c>
      <c r="B575" s="8" t="s">
        <v>2436</v>
      </c>
      <c r="C575" s="8">
        <v>1.3013097755408001</v>
      </c>
      <c r="D575" s="8">
        <v>1.7995638726090502E-2</v>
      </c>
    </row>
    <row r="576" spans="1:4" x14ac:dyDescent="0.2">
      <c r="A576" s="8" t="s">
        <v>2437</v>
      </c>
      <c r="B576" s="8" t="s">
        <v>2438</v>
      </c>
      <c r="C576" s="8">
        <v>1.14643474374027</v>
      </c>
      <c r="D576" s="8">
        <v>8.5688529615038204E-4</v>
      </c>
    </row>
    <row r="577" spans="1:4" x14ac:dyDescent="0.2">
      <c r="A577" s="8" t="s">
        <v>2439</v>
      </c>
      <c r="B577" s="8" t="s">
        <v>2440</v>
      </c>
      <c r="C577" s="8">
        <v>-1.2411980067852399</v>
      </c>
      <c r="D577" s="8">
        <v>2.2512714813968E-3</v>
      </c>
    </row>
    <row r="578" spans="1:4" x14ac:dyDescent="0.2">
      <c r="A578" s="8" t="s">
        <v>2441</v>
      </c>
      <c r="B578" s="8" t="s">
        <v>2442</v>
      </c>
      <c r="C578" s="8">
        <v>-2.0667993769680302</v>
      </c>
      <c r="D578" s="8">
        <v>2.55774981171745E-2</v>
      </c>
    </row>
    <row r="579" spans="1:4" x14ac:dyDescent="0.2">
      <c r="A579" s="8" t="s">
        <v>2443</v>
      </c>
      <c r="B579" s="8" t="s">
        <v>2444</v>
      </c>
      <c r="C579" s="8">
        <v>-1.2164893359776601</v>
      </c>
      <c r="D579" s="8">
        <v>2.9523334260301199E-2</v>
      </c>
    </row>
    <row r="580" spans="1:4" x14ac:dyDescent="0.2">
      <c r="A580" s="8" t="s">
        <v>2445</v>
      </c>
      <c r="B580" s="8" t="s">
        <v>2446</v>
      </c>
      <c r="C580" s="8">
        <v>-2.2234957372488902</v>
      </c>
      <c r="D580" s="8">
        <v>2.63774561395222E-2</v>
      </c>
    </row>
    <row r="581" spans="1:4" x14ac:dyDescent="0.2">
      <c r="A581" s="8" t="s">
        <v>2447</v>
      </c>
      <c r="B581" s="8" t="s">
        <v>2448</v>
      </c>
      <c r="C581" s="8">
        <v>1.79073276864182</v>
      </c>
      <c r="D581" s="8">
        <v>2.6676811762716499E-2</v>
      </c>
    </row>
    <row r="582" spans="1:4" x14ac:dyDescent="0.2">
      <c r="A582" s="8" t="s">
        <v>2449</v>
      </c>
      <c r="B582" s="8" t="s">
        <v>2450</v>
      </c>
      <c r="C582" s="8">
        <v>1.3201114025513401</v>
      </c>
      <c r="D582" s="8">
        <v>2.4994198015405602E-3</v>
      </c>
    </row>
    <row r="583" spans="1:4" x14ac:dyDescent="0.2">
      <c r="A583" s="8" t="s">
        <v>2451</v>
      </c>
      <c r="B583" s="8" t="s">
        <v>2452</v>
      </c>
      <c r="C583" s="8">
        <v>-1.8072935618112</v>
      </c>
      <c r="D583" s="8">
        <v>2.16457444040777E-2</v>
      </c>
    </row>
    <row r="584" spans="1:4" x14ac:dyDescent="0.2">
      <c r="A584" s="8" t="s">
        <v>2453</v>
      </c>
      <c r="B584" s="8" t="s">
        <v>2454</v>
      </c>
      <c r="C584" s="8">
        <v>-1.33289607994452</v>
      </c>
      <c r="D584" s="8">
        <v>8.3688810163197094E-3</v>
      </c>
    </row>
    <row r="585" spans="1:4" x14ac:dyDescent="0.2">
      <c r="A585" s="8" t="s">
        <v>2455</v>
      </c>
      <c r="B585" s="8" t="s">
        <v>2456</v>
      </c>
      <c r="C585" s="8">
        <v>-1.1963525964833699</v>
      </c>
      <c r="D585" s="8">
        <v>1.35110089040495E-2</v>
      </c>
    </row>
    <row r="586" spans="1:4" x14ac:dyDescent="0.2">
      <c r="A586" s="8" t="s">
        <v>2457</v>
      </c>
      <c r="B586" s="8" t="s">
        <v>2458</v>
      </c>
      <c r="C586" s="8">
        <v>1.1068931815042999</v>
      </c>
      <c r="D586" s="8">
        <v>1.50863540985736E-2</v>
      </c>
    </row>
    <row r="587" spans="1:4" x14ac:dyDescent="0.2">
      <c r="A587" s="8" t="s">
        <v>2459</v>
      </c>
      <c r="B587" s="8" t="s">
        <v>2460</v>
      </c>
      <c r="C587" s="8">
        <v>1.63435967016198</v>
      </c>
      <c r="D587" s="8">
        <v>3.7381139484842098E-2</v>
      </c>
    </row>
    <row r="588" spans="1:4" x14ac:dyDescent="0.2">
      <c r="A588" s="8" t="s">
        <v>2461</v>
      </c>
      <c r="B588" s="8" t="s">
        <v>2462</v>
      </c>
      <c r="C588" s="8">
        <v>2.7548627581095202</v>
      </c>
      <c r="D588" s="8">
        <v>2.2329059617141E-2</v>
      </c>
    </row>
    <row r="589" spans="1:4" x14ac:dyDescent="0.2">
      <c r="A589" s="8" t="s">
        <v>2463</v>
      </c>
      <c r="B589" s="8" t="s">
        <v>2464</v>
      </c>
      <c r="C589" s="8">
        <v>-1.0480128531145401</v>
      </c>
      <c r="D589" s="8">
        <v>1.43371692129645E-3</v>
      </c>
    </row>
    <row r="590" spans="1:4" x14ac:dyDescent="0.2">
      <c r="A590" s="8" t="s">
        <v>2465</v>
      </c>
      <c r="B590" s="8" t="s">
        <v>2466</v>
      </c>
      <c r="C590" s="8">
        <v>-2.70096626429874</v>
      </c>
      <c r="D590" s="8">
        <v>9.1882707823586504E-4</v>
      </c>
    </row>
    <row r="591" spans="1:4" x14ac:dyDescent="0.2">
      <c r="A591" s="8" t="s">
        <v>2467</v>
      </c>
      <c r="B591" s="8" t="s">
        <v>2468</v>
      </c>
      <c r="C591" s="8">
        <v>-3.6791450112131101</v>
      </c>
      <c r="D591" s="8">
        <v>3.69123714710553E-3</v>
      </c>
    </row>
    <row r="592" spans="1:4" x14ac:dyDescent="0.2">
      <c r="A592" s="8" t="s">
        <v>2469</v>
      </c>
      <c r="B592" s="8" t="s">
        <v>2470</v>
      </c>
      <c r="C592" s="8">
        <v>-1.64724881933786</v>
      </c>
      <c r="D592" s="8">
        <v>1.47985894387252E-4</v>
      </c>
    </row>
    <row r="593" spans="1:4" x14ac:dyDescent="0.2">
      <c r="A593" s="8" t="s">
        <v>2471</v>
      </c>
      <c r="B593" s="8" t="s">
        <v>2472</v>
      </c>
      <c r="C593" s="8">
        <v>-1.91203257114546</v>
      </c>
      <c r="D593" s="8">
        <v>1.8981932675418998E-2</v>
      </c>
    </row>
    <row r="594" spans="1:4" x14ac:dyDescent="0.2">
      <c r="A594" s="8" t="s">
        <v>2473</v>
      </c>
      <c r="B594" s="8" t="s">
        <v>2474</v>
      </c>
      <c r="C594" s="8">
        <v>-1.4425338731139901</v>
      </c>
      <c r="D594" s="8">
        <v>2.6992945481143799E-2</v>
      </c>
    </row>
    <row r="595" spans="1:4" x14ac:dyDescent="0.2">
      <c r="A595" s="8" t="s">
        <v>2475</v>
      </c>
      <c r="B595" s="8" t="s">
        <v>2476</v>
      </c>
      <c r="C595" s="8">
        <v>-1.95486616195281</v>
      </c>
      <c r="D595" s="8">
        <v>1.2796238207748599E-2</v>
      </c>
    </row>
    <row r="596" spans="1:4" x14ac:dyDescent="0.2">
      <c r="A596" s="8" t="s">
        <v>2477</v>
      </c>
      <c r="B596" s="8" t="s">
        <v>2478</v>
      </c>
      <c r="C596" s="8">
        <v>-1.8969827813965701</v>
      </c>
      <c r="D596" s="8">
        <v>4.6806068245115799E-4</v>
      </c>
    </row>
    <row r="597" spans="1:4" x14ac:dyDescent="0.2">
      <c r="A597" s="8" t="s">
        <v>2479</v>
      </c>
      <c r="B597" s="8" t="s">
        <v>2480</v>
      </c>
      <c r="C597" s="8">
        <v>-1.5333780256010301</v>
      </c>
      <c r="D597" s="8">
        <v>3.7720808571159899E-2</v>
      </c>
    </row>
    <row r="598" spans="1:4" x14ac:dyDescent="0.2">
      <c r="A598" s="8" t="s">
        <v>2481</v>
      </c>
      <c r="B598" s="8" t="s">
        <v>2482</v>
      </c>
      <c r="C598" s="8">
        <v>-1.9414521485303</v>
      </c>
      <c r="D598" s="8">
        <v>4.2391734730114997E-2</v>
      </c>
    </row>
    <row r="599" spans="1:4" x14ac:dyDescent="0.2">
      <c r="A599" s="8" t="s">
        <v>2483</v>
      </c>
      <c r="B599" s="8" t="s">
        <v>2484</v>
      </c>
      <c r="C599" s="8">
        <v>-1.92483901074191</v>
      </c>
      <c r="D599" s="8">
        <v>1.27056071468113E-2</v>
      </c>
    </row>
    <row r="600" spans="1:4" x14ac:dyDescent="0.2">
      <c r="A600" s="8" t="s">
        <v>2485</v>
      </c>
      <c r="B600" s="8" t="s">
        <v>2486</v>
      </c>
      <c r="C600" s="8">
        <v>2.9893771785743799</v>
      </c>
      <c r="D600" s="8">
        <v>2.2464006229583399E-2</v>
      </c>
    </row>
    <row r="601" spans="1:4" x14ac:dyDescent="0.2">
      <c r="A601" s="8" t="s">
        <v>2487</v>
      </c>
      <c r="B601" s="8" t="s">
        <v>2488</v>
      </c>
      <c r="C601" s="8">
        <v>1.45454294032257</v>
      </c>
      <c r="D601" s="8">
        <v>3.68590753460175E-3</v>
      </c>
    </row>
    <row r="602" spans="1:4" x14ac:dyDescent="0.2">
      <c r="A602" s="8" t="s">
        <v>2489</v>
      </c>
      <c r="B602" s="8" t="s">
        <v>2490</v>
      </c>
      <c r="C602" s="8">
        <v>1.28006825511367</v>
      </c>
      <c r="D602" s="8">
        <v>2.7904729786902099E-2</v>
      </c>
    </row>
    <row r="603" spans="1:4" x14ac:dyDescent="0.2">
      <c r="A603" s="8" t="s">
        <v>2491</v>
      </c>
      <c r="B603" s="8" t="s">
        <v>2492</v>
      </c>
      <c r="C603" s="8">
        <v>1.6756571075222</v>
      </c>
      <c r="D603" s="8">
        <v>1.81935728210257E-3</v>
      </c>
    </row>
    <row r="604" spans="1:4" x14ac:dyDescent="0.2">
      <c r="A604" s="8" t="s">
        <v>2493</v>
      </c>
      <c r="B604" s="8" t="s">
        <v>2494</v>
      </c>
      <c r="C604" s="8">
        <v>1.36009442292394</v>
      </c>
      <c r="D604" s="8">
        <v>1.0883466046442899E-2</v>
      </c>
    </row>
    <row r="605" spans="1:4" x14ac:dyDescent="0.2">
      <c r="A605" s="8" t="s">
        <v>2495</v>
      </c>
      <c r="B605" s="8" t="s">
        <v>2496</v>
      </c>
      <c r="C605" s="8">
        <v>2.6637583508399101</v>
      </c>
      <c r="D605" s="8">
        <v>4.2560011633173397E-2</v>
      </c>
    </row>
    <row r="606" spans="1:4" x14ac:dyDescent="0.2">
      <c r="A606" s="8" t="s">
        <v>2497</v>
      </c>
      <c r="B606" s="8" t="s">
        <v>2498</v>
      </c>
      <c r="C606" s="8">
        <v>-1.68586496099307</v>
      </c>
      <c r="D606" s="8">
        <v>2.0617896547946799E-2</v>
      </c>
    </row>
    <row r="607" spans="1:4" x14ac:dyDescent="0.2">
      <c r="A607" s="8" t="s">
        <v>2499</v>
      </c>
      <c r="B607" s="8" t="s">
        <v>2500</v>
      </c>
      <c r="C607" s="8">
        <v>1.06985261116048</v>
      </c>
      <c r="D607" s="8">
        <v>1.3067217501416E-2</v>
      </c>
    </row>
    <row r="608" spans="1:4" x14ac:dyDescent="0.2">
      <c r="A608" s="8" t="s">
        <v>2501</v>
      </c>
      <c r="B608" s="8" t="s">
        <v>2502</v>
      </c>
      <c r="C608" s="8">
        <v>1.35334306823652</v>
      </c>
      <c r="D608" s="8">
        <v>8.6387259987573406E-3</v>
      </c>
    </row>
    <row r="609" spans="1:4" x14ac:dyDescent="0.2">
      <c r="A609" s="8" t="s">
        <v>2503</v>
      </c>
      <c r="B609" s="8" t="s">
        <v>2504</v>
      </c>
      <c r="C609" s="8">
        <v>1.0986333525732701</v>
      </c>
      <c r="D609" s="8">
        <v>1.79038292799121E-2</v>
      </c>
    </row>
    <row r="610" spans="1:4" x14ac:dyDescent="0.2">
      <c r="A610" s="8" t="s">
        <v>2505</v>
      </c>
      <c r="B610" s="8" t="s">
        <v>2506</v>
      </c>
      <c r="C610" s="8">
        <v>1.3764671631868399</v>
      </c>
      <c r="D610" s="8">
        <v>6.9184597063894002E-3</v>
      </c>
    </row>
    <row r="611" spans="1:4" x14ac:dyDescent="0.2">
      <c r="A611" s="8" t="s">
        <v>2507</v>
      </c>
      <c r="B611" s="8" t="s">
        <v>2508</v>
      </c>
      <c r="C611" s="8">
        <v>1.6045540359525801</v>
      </c>
      <c r="D611" s="8">
        <v>1.4198284780558099E-2</v>
      </c>
    </row>
    <row r="612" spans="1:4" x14ac:dyDescent="0.2">
      <c r="A612" s="8" t="s">
        <v>2509</v>
      </c>
      <c r="B612" s="8" t="s">
        <v>2510</v>
      </c>
      <c r="C612" s="8">
        <v>1.1080584795926101</v>
      </c>
      <c r="D612" s="8">
        <v>1.0188467861244299E-2</v>
      </c>
    </row>
    <row r="613" spans="1:4" x14ac:dyDescent="0.2">
      <c r="A613" s="8" t="s">
        <v>2511</v>
      </c>
      <c r="B613" s="8" t="s">
        <v>2512</v>
      </c>
      <c r="C613" s="8">
        <v>2.3251483142762499</v>
      </c>
      <c r="D613" s="8">
        <v>4.0626383892408902E-4</v>
      </c>
    </row>
    <row r="614" spans="1:4" x14ac:dyDescent="0.2">
      <c r="A614" s="8" t="s">
        <v>2513</v>
      </c>
      <c r="B614" s="8" t="s">
        <v>2514</v>
      </c>
      <c r="C614" s="8">
        <v>-2.3995996736895302</v>
      </c>
      <c r="D614" s="8">
        <v>1.8542630954058201E-2</v>
      </c>
    </row>
    <row r="615" spans="1:4" x14ac:dyDescent="0.2">
      <c r="A615" s="8" t="s">
        <v>2515</v>
      </c>
      <c r="B615" s="8" t="s">
        <v>2516</v>
      </c>
      <c r="C615" s="8">
        <v>-1.45420854383655</v>
      </c>
      <c r="D615" s="8">
        <v>2.6705120081756101E-2</v>
      </c>
    </row>
    <row r="616" spans="1:4" x14ac:dyDescent="0.2">
      <c r="A616" s="8" t="s">
        <v>2517</v>
      </c>
      <c r="B616" s="8" t="s">
        <v>2518</v>
      </c>
      <c r="C616" s="8">
        <v>-2.7028879336714802</v>
      </c>
      <c r="D616" s="8">
        <v>9.6121022123326107E-3</v>
      </c>
    </row>
    <row r="617" spans="1:4" x14ac:dyDescent="0.2">
      <c r="A617" s="8" t="s">
        <v>2519</v>
      </c>
      <c r="B617" s="8" t="s">
        <v>2520</v>
      </c>
      <c r="C617" s="8">
        <v>-1.28733921609622</v>
      </c>
      <c r="D617" s="8">
        <v>6.0014044727586301E-3</v>
      </c>
    </row>
    <row r="618" spans="1:4" x14ac:dyDescent="0.2">
      <c r="A618" s="8" t="s">
        <v>2521</v>
      </c>
      <c r="B618" s="8" t="s">
        <v>2522</v>
      </c>
      <c r="C618" s="8">
        <v>-3.62714110483667</v>
      </c>
      <c r="D618" s="8">
        <v>7.7798561302536099E-3</v>
      </c>
    </row>
    <row r="619" spans="1:4" x14ac:dyDescent="0.2">
      <c r="A619" s="8" t="s">
        <v>2523</v>
      </c>
      <c r="B619" s="8" t="s">
        <v>2524</v>
      </c>
      <c r="C619" s="8">
        <v>1.24364093473717</v>
      </c>
      <c r="D619" s="8">
        <v>3.1288160121463698E-3</v>
      </c>
    </row>
    <row r="620" spans="1:4" x14ac:dyDescent="0.2">
      <c r="A620" s="8" t="s">
        <v>2525</v>
      </c>
      <c r="B620" s="8" t="s">
        <v>2526</v>
      </c>
      <c r="C620" s="8">
        <v>-2.5307942233971601</v>
      </c>
      <c r="D620" s="8">
        <v>3.0442027653443799E-2</v>
      </c>
    </row>
    <row r="621" spans="1:4" x14ac:dyDescent="0.2">
      <c r="A621" s="8" t="s">
        <v>2527</v>
      </c>
      <c r="B621" s="8" t="s">
        <v>2528</v>
      </c>
      <c r="C621" s="8">
        <v>-2.1432728677841499</v>
      </c>
      <c r="D621" s="8">
        <v>3.23805712428578E-2</v>
      </c>
    </row>
    <row r="622" spans="1:4" x14ac:dyDescent="0.2">
      <c r="A622" s="8" t="s">
        <v>2529</v>
      </c>
      <c r="B622" s="8" t="s">
        <v>2530</v>
      </c>
      <c r="C622" s="8">
        <v>-2.2325267730034999</v>
      </c>
      <c r="D622" s="8">
        <v>3.8003360365983299E-2</v>
      </c>
    </row>
    <row r="623" spans="1:4" x14ac:dyDescent="0.2">
      <c r="A623" s="8" t="s">
        <v>2531</v>
      </c>
      <c r="B623" s="8" t="s">
        <v>2532</v>
      </c>
      <c r="C623" s="8">
        <v>-1.18281172442056</v>
      </c>
      <c r="D623" s="8">
        <v>8.9605625070685608E-3</v>
      </c>
    </row>
    <row r="624" spans="1:4" x14ac:dyDescent="0.2">
      <c r="A624" s="8" t="s">
        <v>2533</v>
      </c>
      <c r="B624" s="8" t="s">
        <v>2534</v>
      </c>
      <c r="C624" s="8">
        <v>2.0724748599726199</v>
      </c>
      <c r="D624" s="8">
        <v>4.9369966336273399E-2</v>
      </c>
    </row>
    <row r="625" spans="1:4" x14ac:dyDescent="0.2">
      <c r="A625" s="8" t="s">
        <v>2535</v>
      </c>
      <c r="B625" s="8" t="s">
        <v>2536</v>
      </c>
      <c r="C625" s="8">
        <v>-1.8165497795891199</v>
      </c>
      <c r="D625" s="8">
        <v>6.8701621150590202E-4</v>
      </c>
    </row>
    <row r="626" spans="1:4" x14ac:dyDescent="0.2">
      <c r="A626" s="8" t="s">
        <v>2537</v>
      </c>
      <c r="B626" s="8" t="s">
        <v>2538</v>
      </c>
      <c r="C626" s="8">
        <v>-1.5186858943894099</v>
      </c>
      <c r="D626" s="8">
        <v>1.0255769638535599E-3</v>
      </c>
    </row>
    <row r="627" spans="1:4" x14ac:dyDescent="0.2">
      <c r="A627" s="8" t="s">
        <v>2539</v>
      </c>
      <c r="B627" s="8" t="s">
        <v>2540</v>
      </c>
      <c r="C627" s="8">
        <v>1.2055917468671999</v>
      </c>
      <c r="D627" s="8">
        <v>5.1155867382409502E-3</v>
      </c>
    </row>
    <row r="628" spans="1:4" x14ac:dyDescent="0.2">
      <c r="A628" s="8" t="s">
        <v>2541</v>
      </c>
      <c r="B628" s="8" t="s">
        <v>2542</v>
      </c>
      <c r="C628" s="8">
        <v>3.4675369618719198</v>
      </c>
      <c r="D628" s="8">
        <v>1.3723895827051099E-2</v>
      </c>
    </row>
    <row r="629" spans="1:4" x14ac:dyDescent="0.2">
      <c r="A629" s="8" t="s">
        <v>2543</v>
      </c>
      <c r="B629" s="8" t="s">
        <v>2544</v>
      </c>
      <c r="C629" s="8">
        <v>-1.7002728752142899</v>
      </c>
      <c r="D629" s="8">
        <v>2.4744611641300599E-2</v>
      </c>
    </row>
    <row r="630" spans="1:4" x14ac:dyDescent="0.2">
      <c r="A630" s="8" t="s">
        <v>2545</v>
      </c>
      <c r="B630" s="8" t="s">
        <v>2546</v>
      </c>
      <c r="C630" s="8">
        <v>2.28559920407299</v>
      </c>
      <c r="D630" s="8">
        <v>5.1031824785212699E-3</v>
      </c>
    </row>
    <row r="631" spans="1:4" x14ac:dyDescent="0.2">
      <c r="A631" s="8" t="s">
        <v>2547</v>
      </c>
      <c r="B631" s="8" t="s">
        <v>2548</v>
      </c>
      <c r="C631" s="8">
        <v>-3.74743199514401</v>
      </c>
      <c r="D631" s="8">
        <v>1.3312606993754E-2</v>
      </c>
    </row>
    <row r="632" spans="1:4" x14ac:dyDescent="0.2">
      <c r="A632" s="8" t="s">
        <v>2549</v>
      </c>
      <c r="B632" s="8" t="s">
        <v>2550</v>
      </c>
      <c r="C632" s="8">
        <v>-1.1857388763046</v>
      </c>
      <c r="D632" s="8">
        <v>2.0706578622397401E-2</v>
      </c>
    </row>
    <row r="633" spans="1:4" x14ac:dyDescent="0.2">
      <c r="A633" s="8" t="s">
        <v>2551</v>
      </c>
      <c r="B633" s="8" t="s">
        <v>2552</v>
      </c>
      <c r="C633" s="8">
        <v>-2.2604546379515802</v>
      </c>
      <c r="D633" s="8">
        <v>6.1813095330570395E-4</v>
      </c>
    </row>
    <row r="634" spans="1:4" x14ac:dyDescent="0.2">
      <c r="A634" s="8" t="s">
        <v>2553</v>
      </c>
      <c r="B634" s="8" t="s">
        <v>2554</v>
      </c>
      <c r="C634" s="8">
        <v>-1.3918203170478101</v>
      </c>
      <c r="D634" s="8">
        <v>3.3044242692400402E-2</v>
      </c>
    </row>
    <row r="635" spans="1:4" x14ac:dyDescent="0.2">
      <c r="A635" s="8" t="s">
        <v>2555</v>
      </c>
      <c r="B635" s="8" t="s">
        <v>2556</v>
      </c>
      <c r="C635" s="8">
        <v>1.24357283121782</v>
      </c>
      <c r="D635" s="8">
        <v>2.33783613953671E-2</v>
      </c>
    </row>
    <row r="636" spans="1:4" x14ac:dyDescent="0.2">
      <c r="A636" s="8" t="s">
        <v>2557</v>
      </c>
      <c r="B636" s="8" t="s">
        <v>2558</v>
      </c>
      <c r="C636" s="8">
        <v>1.32979549885287</v>
      </c>
      <c r="D636" s="8">
        <v>3.4945769292146399E-2</v>
      </c>
    </row>
    <row r="637" spans="1:4" x14ac:dyDescent="0.2">
      <c r="A637" s="8" t="s">
        <v>2559</v>
      </c>
      <c r="B637" s="8" t="s">
        <v>2560</v>
      </c>
      <c r="C637" s="8">
        <v>-1.05513048504198</v>
      </c>
      <c r="D637" s="8">
        <v>3.3083120107094098E-2</v>
      </c>
    </row>
    <row r="638" spans="1:4" x14ac:dyDescent="0.2">
      <c r="A638" s="8" t="s">
        <v>2561</v>
      </c>
      <c r="B638" s="8" t="s">
        <v>2562</v>
      </c>
      <c r="C638" s="8">
        <v>1.0310033001327801</v>
      </c>
      <c r="D638" s="8">
        <v>7.3150125763532796E-4</v>
      </c>
    </row>
    <row r="639" spans="1:4" x14ac:dyDescent="0.2">
      <c r="A639" s="8" t="s">
        <v>2563</v>
      </c>
      <c r="B639" s="8" t="s">
        <v>2564</v>
      </c>
      <c r="C639" s="8">
        <v>-2.2254119239996002</v>
      </c>
      <c r="D639" s="8">
        <v>7.63956796063202E-3</v>
      </c>
    </row>
    <row r="640" spans="1:4" x14ac:dyDescent="0.2">
      <c r="A640" s="8" t="s">
        <v>2565</v>
      </c>
      <c r="B640" s="8" t="s">
        <v>2566</v>
      </c>
      <c r="C640" s="8">
        <v>-1.4258856708179399</v>
      </c>
      <c r="D640" s="8">
        <v>2.3127279678593501E-2</v>
      </c>
    </row>
    <row r="641" spans="1:4" x14ac:dyDescent="0.2">
      <c r="A641" s="8" t="s">
        <v>2567</v>
      </c>
      <c r="B641" s="8" t="s">
        <v>2568</v>
      </c>
      <c r="C641" s="8">
        <v>-1.31256891817114</v>
      </c>
      <c r="D641" s="8">
        <v>2.0337694936368899E-2</v>
      </c>
    </row>
    <row r="642" spans="1:4" x14ac:dyDescent="0.2">
      <c r="A642" s="8" t="s">
        <v>2569</v>
      </c>
      <c r="B642" s="8" t="s">
        <v>2570</v>
      </c>
      <c r="C642" s="8">
        <v>-1.83475703374205</v>
      </c>
      <c r="D642" s="8">
        <v>1.14385104251612E-2</v>
      </c>
    </row>
    <row r="643" spans="1:4" x14ac:dyDescent="0.2">
      <c r="A643" s="8" t="s">
        <v>2571</v>
      </c>
      <c r="B643" s="8" t="s">
        <v>2572</v>
      </c>
      <c r="C643" s="8">
        <v>2.16623380581568</v>
      </c>
      <c r="D643" s="8">
        <v>4.6946012264249097E-3</v>
      </c>
    </row>
    <row r="644" spans="1:4" x14ac:dyDescent="0.2">
      <c r="A644" s="8" t="s">
        <v>2573</v>
      </c>
      <c r="B644" s="8" t="s">
        <v>2574</v>
      </c>
      <c r="C644" s="8">
        <v>1.0085718446241001</v>
      </c>
      <c r="D644" s="8">
        <v>2.1418959492915401E-2</v>
      </c>
    </row>
    <row r="645" spans="1:4" x14ac:dyDescent="0.2">
      <c r="A645" s="8" t="s">
        <v>2575</v>
      </c>
      <c r="B645" s="8" t="s">
        <v>2576</v>
      </c>
      <c r="C645" s="8">
        <v>-2.3827212740933899</v>
      </c>
      <c r="D645" s="8">
        <v>3.2525867091041699E-3</v>
      </c>
    </row>
    <row r="646" spans="1:4" x14ac:dyDescent="0.2">
      <c r="A646" s="8" t="s">
        <v>2577</v>
      </c>
      <c r="B646" s="8" t="s">
        <v>2578</v>
      </c>
      <c r="C646" s="8">
        <v>-1.51681994650589</v>
      </c>
      <c r="D646" s="8">
        <v>1.4952870199869499E-2</v>
      </c>
    </row>
    <row r="647" spans="1:4" x14ac:dyDescent="0.2">
      <c r="A647" s="8" t="s">
        <v>2579</v>
      </c>
      <c r="B647" s="8" t="s">
        <v>2580</v>
      </c>
      <c r="C647" s="8">
        <v>-1.9417214097103599</v>
      </c>
      <c r="D647" s="8">
        <v>5.5089030470081603E-3</v>
      </c>
    </row>
    <row r="648" spans="1:4" x14ac:dyDescent="0.2">
      <c r="A648" s="8" t="s">
        <v>2581</v>
      </c>
      <c r="B648" s="8" t="s">
        <v>2582</v>
      </c>
      <c r="C648" s="8">
        <v>-1.2496780617171701</v>
      </c>
      <c r="D648" s="8">
        <v>1.30431617634824E-2</v>
      </c>
    </row>
    <row r="649" spans="1:4" x14ac:dyDescent="0.2">
      <c r="A649" s="8" t="s">
        <v>2583</v>
      </c>
      <c r="B649" s="8" t="s">
        <v>2584</v>
      </c>
      <c r="C649" s="8">
        <v>-1.0320358994427601</v>
      </c>
      <c r="D649" s="8">
        <v>3.4276777361438901E-2</v>
      </c>
    </row>
    <row r="650" spans="1:4" x14ac:dyDescent="0.2">
      <c r="A650" s="8" t="s">
        <v>2585</v>
      </c>
      <c r="B650" s="8" t="s">
        <v>2586</v>
      </c>
      <c r="C650" s="8">
        <v>1.53855859808203</v>
      </c>
      <c r="D650" s="8">
        <v>8.7050063147948195E-4</v>
      </c>
    </row>
    <row r="651" spans="1:4" x14ac:dyDescent="0.2">
      <c r="A651" s="8" t="s">
        <v>2587</v>
      </c>
      <c r="B651" s="8" t="s">
        <v>2588</v>
      </c>
      <c r="C651" s="8">
        <v>1.3313254384523201</v>
      </c>
      <c r="D651" s="8">
        <v>6.0575426431943701E-3</v>
      </c>
    </row>
    <row r="652" spans="1:4" x14ac:dyDescent="0.2">
      <c r="A652" s="8" t="s">
        <v>2589</v>
      </c>
      <c r="B652" s="8" t="s">
        <v>2590</v>
      </c>
      <c r="C652" s="8">
        <v>-2.6777039327368199</v>
      </c>
      <c r="D652" s="8">
        <v>3.3521210426401601E-3</v>
      </c>
    </row>
    <row r="653" spans="1:4" x14ac:dyDescent="0.2">
      <c r="A653" s="8" t="s">
        <v>2591</v>
      </c>
      <c r="B653" s="8" t="s">
        <v>2592</v>
      </c>
      <c r="C653" s="8">
        <v>-3.15398234623198</v>
      </c>
      <c r="D653" s="8">
        <v>4.1074423693199698E-3</v>
      </c>
    </row>
    <row r="654" spans="1:4" x14ac:dyDescent="0.2">
      <c r="A654" s="8" t="s">
        <v>2593</v>
      </c>
      <c r="B654" s="8" t="s">
        <v>2594</v>
      </c>
      <c r="C654" s="8">
        <v>1.14650503798184</v>
      </c>
      <c r="D654" s="8">
        <v>6.8304790735695502E-3</v>
      </c>
    </row>
    <row r="655" spans="1:4" x14ac:dyDescent="0.2">
      <c r="A655" s="8" t="s">
        <v>2595</v>
      </c>
      <c r="B655" s="8" t="s">
        <v>2596</v>
      </c>
      <c r="C655" s="8">
        <v>2.1812877811256901</v>
      </c>
      <c r="D655" s="8">
        <v>1.8211149111373399E-2</v>
      </c>
    </row>
    <row r="656" spans="1:4" x14ac:dyDescent="0.2">
      <c r="A656" s="8" t="s">
        <v>2597</v>
      </c>
      <c r="B656" s="8" t="s">
        <v>2598</v>
      </c>
      <c r="C656" s="8">
        <v>-1.2115851327331899</v>
      </c>
      <c r="D656" s="8">
        <v>3.22097086330362E-4</v>
      </c>
    </row>
    <row r="657" spans="1:4" x14ac:dyDescent="0.2">
      <c r="A657" s="8" t="s">
        <v>2599</v>
      </c>
      <c r="B657" s="8" t="s">
        <v>2600</v>
      </c>
      <c r="C657" s="8">
        <v>1.6741789974671299</v>
      </c>
      <c r="D657" s="8">
        <v>3.8119050757967503E-2</v>
      </c>
    </row>
    <row r="658" spans="1:4" x14ac:dyDescent="0.2">
      <c r="A658" s="8" t="s">
        <v>2601</v>
      </c>
      <c r="B658" s="8" t="s">
        <v>2602</v>
      </c>
      <c r="C658" s="8">
        <v>2.44614606664349</v>
      </c>
      <c r="D658" s="9">
        <v>4.2423793431158897E-6</v>
      </c>
    </row>
    <row r="659" spans="1:4" x14ac:dyDescent="0.2">
      <c r="A659" s="8" t="s">
        <v>2603</v>
      </c>
      <c r="B659" s="8" t="s">
        <v>2604</v>
      </c>
      <c r="C659" s="8">
        <v>1.9145831968637499</v>
      </c>
      <c r="D659" s="8">
        <v>3.08088707238558E-2</v>
      </c>
    </row>
    <row r="660" spans="1:4" x14ac:dyDescent="0.2">
      <c r="A660" s="8" t="s">
        <v>2605</v>
      </c>
      <c r="B660" s="8" t="s">
        <v>2606</v>
      </c>
      <c r="C660" s="8">
        <v>1.3457080461947</v>
      </c>
      <c r="D660" s="8">
        <v>9.8284398069294304E-4</v>
      </c>
    </row>
    <row r="661" spans="1:4" x14ac:dyDescent="0.2">
      <c r="A661" s="8" t="s">
        <v>2607</v>
      </c>
      <c r="B661" s="8" t="s">
        <v>2608</v>
      </c>
      <c r="C661" s="8">
        <v>2.4374572386672799</v>
      </c>
      <c r="D661" s="8">
        <v>1.3667311998246301E-4</v>
      </c>
    </row>
    <row r="662" spans="1:4" x14ac:dyDescent="0.2">
      <c r="A662" s="8" t="s">
        <v>2609</v>
      </c>
      <c r="B662" s="8" t="s">
        <v>2610</v>
      </c>
      <c r="C662" s="8">
        <v>-1.30712445944887</v>
      </c>
      <c r="D662" s="8">
        <v>1.50908977724452E-3</v>
      </c>
    </row>
    <row r="663" spans="1:4" x14ac:dyDescent="0.2">
      <c r="A663" s="8" t="s">
        <v>2611</v>
      </c>
      <c r="B663" s="8" t="s">
        <v>2612</v>
      </c>
      <c r="C663" s="8">
        <v>-1.62382468375214</v>
      </c>
      <c r="D663" s="8">
        <v>4.7581037844199502E-2</v>
      </c>
    </row>
    <row r="664" spans="1:4" x14ac:dyDescent="0.2">
      <c r="A664" s="8" t="s">
        <v>2613</v>
      </c>
      <c r="B664" s="8" t="s">
        <v>2614</v>
      </c>
      <c r="C664" s="8">
        <v>-1.18373015960449</v>
      </c>
      <c r="D664" s="8">
        <v>3.18218613597635E-3</v>
      </c>
    </row>
    <row r="665" spans="1:4" x14ac:dyDescent="0.2">
      <c r="A665" s="8" t="s">
        <v>2615</v>
      </c>
      <c r="B665" s="8" t="s">
        <v>2616</v>
      </c>
      <c r="C665" s="8">
        <v>-3.0441214891659998</v>
      </c>
      <c r="D665" s="8">
        <v>3.36614932587975E-4</v>
      </c>
    </row>
    <row r="666" spans="1:4" x14ac:dyDescent="0.2">
      <c r="A666" s="8" t="s">
        <v>2617</v>
      </c>
      <c r="B666" s="8" t="s">
        <v>2618</v>
      </c>
      <c r="C666" s="8">
        <v>-1.6774947821069199</v>
      </c>
      <c r="D666" s="8">
        <v>7.1170332217664603E-3</v>
      </c>
    </row>
    <row r="667" spans="1:4" x14ac:dyDescent="0.2">
      <c r="A667" s="8" t="s">
        <v>2619</v>
      </c>
      <c r="B667" s="8" t="s">
        <v>2620</v>
      </c>
      <c r="C667" s="8">
        <v>-1.84165143691513</v>
      </c>
      <c r="D667" s="8">
        <v>1.24769322392343E-2</v>
      </c>
    </row>
    <row r="668" spans="1:4" x14ac:dyDescent="0.2">
      <c r="A668" s="8" t="s">
        <v>2621</v>
      </c>
      <c r="B668" s="8" t="s">
        <v>2622</v>
      </c>
      <c r="C668" s="8">
        <v>2.2237640029890899</v>
      </c>
      <c r="D668" s="8">
        <v>2.18152798693423E-4</v>
      </c>
    </row>
    <row r="669" spans="1:4" x14ac:dyDescent="0.2">
      <c r="A669" s="8" t="s">
        <v>2623</v>
      </c>
      <c r="B669" s="8" t="s">
        <v>2624</v>
      </c>
      <c r="C669" s="8">
        <v>-2.0437219114882899</v>
      </c>
      <c r="D669" s="8">
        <v>1.7739536459433498E-2</v>
      </c>
    </row>
    <row r="670" spans="1:4" x14ac:dyDescent="0.2">
      <c r="A670" s="8" t="s">
        <v>2625</v>
      </c>
      <c r="B670" s="8" t="s">
        <v>2626</v>
      </c>
      <c r="C670" s="8">
        <v>-1.05776909279457</v>
      </c>
      <c r="D670" s="8">
        <v>4.4727386101590501E-2</v>
      </c>
    </row>
    <row r="671" spans="1:4" x14ac:dyDescent="0.2">
      <c r="A671" s="8" t="s">
        <v>2627</v>
      </c>
      <c r="B671" s="8" t="s">
        <v>2628</v>
      </c>
      <c r="C671" s="8">
        <v>1.0829669660396699</v>
      </c>
      <c r="D671" s="8">
        <v>8.8144409617788998E-4</v>
      </c>
    </row>
    <row r="672" spans="1:4" x14ac:dyDescent="0.2">
      <c r="A672" s="8" t="s">
        <v>2629</v>
      </c>
      <c r="B672" s="8" t="s">
        <v>2630</v>
      </c>
      <c r="C672" s="8">
        <v>-1.4919124740952201</v>
      </c>
      <c r="D672" s="8">
        <v>1.28530251629632E-3</v>
      </c>
    </row>
    <row r="673" spans="1:4" x14ac:dyDescent="0.2">
      <c r="A673" s="8" t="s">
        <v>2631</v>
      </c>
      <c r="B673" s="8" t="s">
        <v>2632</v>
      </c>
      <c r="C673" s="8">
        <v>1.6307586220211301</v>
      </c>
      <c r="D673" s="8">
        <v>1.3539404085628801E-2</v>
      </c>
    </row>
    <row r="674" spans="1:4" x14ac:dyDescent="0.2">
      <c r="A674" s="8" t="s">
        <v>2633</v>
      </c>
      <c r="B674" s="8" t="s">
        <v>2634</v>
      </c>
      <c r="C674" s="8">
        <v>-1.2636970374493399</v>
      </c>
      <c r="D674" s="8">
        <v>5.4654720264124296E-4</v>
      </c>
    </row>
    <row r="675" spans="1:4" x14ac:dyDescent="0.2">
      <c r="A675" s="8" t="s">
        <v>2635</v>
      </c>
      <c r="B675" s="8" t="s">
        <v>2636</v>
      </c>
      <c r="C675" s="8">
        <v>-2.58069456712678</v>
      </c>
      <c r="D675" s="8">
        <v>2.4935667401762798E-2</v>
      </c>
    </row>
    <row r="676" spans="1:4" x14ac:dyDescent="0.2">
      <c r="A676" s="8" t="s">
        <v>2637</v>
      </c>
      <c r="B676" s="8" t="s">
        <v>2638</v>
      </c>
      <c r="C676" s="8">
        <v>2.0488286281923802</v>
      </c>
      <c r="D676" s="8">
        <v>4.96265579729252E-3</v>
      </c>
    </row>
    <row r="677" spans="1:4" x14ac:dyDescent="0.2">
      <c r="A677" s="8" t="s">
        <v>2639</v>
      </c>
      <c r="B677" s="8" t="s">
        <v>2640</v>
      </c>
      <c r="C677" s="8">
        <v>-1.70941816849817</v>
      </c>
      <c r="D677" s="8">
        <v>2.5389866337205101E-2</v>
      </c>
    </row>
    <row r="678" spans="1:4" x14ac:dyDescent="0.2">
      <c r="A678" s="8" t="s">
        <v>2641</v>
      </c>
      <c r="B678" s="8" t="s">
        <v>2642</v>
      </c>
      <c r="C678" s="8">
        <v>1.05100689526255</v>
      </c>
      <c r="D678" s="8">
        <v>2.63014501782491E-2</v>
      </c>
    </row>
    <row r="679" spans="1:4" x14ac:dyDescent="0.2">
      <c r="A679" s="8" t="s">
        <v>2643</v>
      </c>
      <c r="B679" s="8" t="s">
        <v>2644</v>
      </c>
      <c r="C679" s="8">
        <v>1.09740634914901</v>
      </c>
      <c r="D679" s="8">
        <v>3.9860809628796496E-3</v>
      </c>
    </row>
    <row r="680" spans="1:4" x14ac:dyDescent="0.2">
      <c r="A680" s="8" t="s">
        <v>2645</v>
      </c>
      <c r="B680" s="8" t="s">
        <v>2646</v>
      </c>
      <c r="C680" s="8">
        <v>2.4544970381396198</v>
      </c>
      <c r="D680" s="8">
        <v>7.4234472793676797E-3</v>
      </c>
    </row>
    <row r="681" spans="1:4" x14ac:dyDescent="0.2">
      <c r="A681" s="8" t="s">
        <v>2647</v>
      </c>
      <c r="B681" s="8" t="s">
        <v>2648</v>
      </c>
      <c r="C681" s="8">
        <v>-1.9710247521908499</v>
      </c>
      <c r="D681" s="8">
        <v>1.6880449178133201E-2</v>
      </c>
    </row>
    <row r="682" spans="1:4" x14ac:dyDescent="0.2">
      <c r="A682" s="8" t="s">
        <v>2649</v>
      </c>
      <c r="B682" s="8" t="s">
        <v>2650</v>
      </c>
      <c r="C682" s="8">
        <v>-2.2868328587299298</v>
      </c>
      <c r="D682" s="8">
        <v>1.3140104457868699E-2</v>
      </c>
    </row>
    <row r="683" spans="1:4" x14ac:dyDescent="0.2">
      <c r="A683" s="8" t="s">
        <v>2651</v>
      </c>
      <c r="B683" s="8" t="s">
        <v>2652</v>
      </c>
      <c r="C683" s="8">
        <v>-1.56348061850454</v>
      </c>
      <c r="D683" s="8">
        <v>4.6080363904645399E-2</v>
      </c>
    </row>
    <row r="684" spans="1:4" x14ac:dyDescent="0.2">
      <c r="A684" s="8" t="s">
        <v>2653</v>
      </c>
      <c r="B684" s="8" t="s">
        <v>2654</v>
      </c>
      <c r="C684" s="8">
        <v>1.03338361521466</v>
      </c>
      <c r="D684" s="8">
        <v>2.72261243773462E-2</v>
      </c>
    </row>
    <row r="685" spans="1:4" x14ac:dyDescent="0.2">
      <c r="A685" s="8" t="s">
        <v>2655</v>
      </c>
      <c r="B685" s="8" t="s">
        <v>2656</v>
      </c>
      <c r="C685" s="8">
        <v>1.79282402522145</v>
      </c>
      <c r="D685" s="8">
        <v>4.1997042095675202E-2</v>
      </c>
    </row>
    <row r="686" spans="1:4" x14ac:dyDescent="0.2">
      <c r="A686" s="8" t="s">
        <v>2657</v>
      </c>
      <c r="B686" s="8" t="s">
        <v>2658</v>
      </c>
      <c r="C686" s="8">
        <v>1.21890816599225</v>
      </c>
      <c r="D686" s="8">
        <v>2.7762079607733199E-2</v>
      </c>
    </row>
    <row r="687" spans="1:4" x14ac:dyDescent="0.2">
      <c r="A687" s="8" t="s">
        <v>2659</v>
      </c>
      <c r="B687" s="8" t="s">
        <v>2660</v>
      </c>
      <c r="C687" s="8">
        <v>2.0882924209479099</v>
      </c>
      <c r="D687" s="8">
        <v>1.2460139179230399E-3</v>
      </c>
    </row>
    <row r="688" spans="1:4" x14ac:dyDescent="0.2">
      <c r="A688" s="8" t="s">
        <v>2661</v>
      </c>
      <c r="B688" s="8" t="s">
        <v>2662</v>
      </c>
      <c r="C688" s="8">
        <v>-2.1172089647935399</v>
      </c>
      <c r="D688" s="8">
        <v>2.3916311300639901E-2</v>
      </c>
    </row>
    <row r="689" spans="1:4" x14ac:dyDescent="0.2">
      <c r="A689" s="8" t="s">
        <v>2663</v>
      </c>
      <c r="B689" s="8" t="s">
        <v>2664</v>
      </c>
      <c r="C689" s="8">
        <v>1.78711907805543</v>
      </c>
      <c r="D689" s="8">
        <v>1.3105322103097801E-4</v>
      </c>
    </row>
    <row r="690" spans="1:4" x14ac:dyDescent="0.2">
      <c r="A690" s="8" t="s">
        <v>2665</v>
      </c>
      <c r="B690" s="8" t="s">
        <v>2666</v>
      </c>
      <c r="C690" s="8">
        <v>2.76847117513103</v>
      </c>
      <c r="D690" s="8">
        <v>1.0277293580591899E-3</v>
      </c>
    </row>
    <row r="691" spans="1:4" x14ac:dyDescent="0.2">
      <c r="A691" s="8" t="s">
        <v>2667</v>
      </c>
      <c r="B691" s="8" t="s">
        <v>2668</v>
      </c>
      <c r="C691" s="8">
        <v>1.1328606215702099</v>
      </c>
      <c r="D691" s="8">
        <v>5.3533078248146999E-3</v>
      </c>
    </row>
    <row r="692" spans="1:4" x14ac:dyDescent="0.2">
      <c r="A692" s="8" t="s">
        <v>2669</v>
      </c>
      <c r="B692" s="8" t="s">
        <v>2670</v>
      </c>
      <c r="C692" s="8">
        <v>-1.0758271837560101</v>
      </c>
      <c r="D692" s="8">
        <v>2.26008353964798E-2</v>
      </c>
    </row>
    <row r="693" spans="1:4" x14ac:dyDescent="0.2">
      <c r="A693" s="8" t="s">
        <v>2671</v>
      </c>
      <c r="B693" s="8" t="s">
        <v>2672</v>
      </c>
      <c r="C693" s="8">
        <v>-1.0380642395981201</v>
      </c>
      <c r="D693" s="8">
        <v>3.6435213718134497E-2</v>
      </c>
    </row>
    <row r="694" spans="1:4" x14ac:dyDescent="0.2">
      <c r="A694" s="8" t="s">
        <v>2673</v>
      </c>
      <c r="B694" s="8" t="s">
        <v>2674</v>
      </c>
      <c r="C694" s="8">
        <v>1.38851949293224</v>
      </c>
      <c r="D694" s="8">
        <v>1.6026262830311901E-3</v>
      </c>
    </row>
    <row r="695" spans="1:4" x14ac:dyDescent="0.2">
      <c r="A695" s="8" t="s">
        <v>2675</v>
      </c>
      <c r="B695" s="8" t="s">
        <v>2676</v>
      </c>
      <c r="C695" s="8">
        <v>-1.48322977369554</v>
      </c>
      <c r="D695" s="8">
        <v>2.89552111429156E-3</v>
      </c>
    </row>
    <row r="696" spans="1:4" x14ac:dyDescent="0.2">
      <c r="A696" s="8" t="s">
        <v>2677</v>
      </c>
      <c r="B696" s="8" t="s">
        <v>2678</v>
      </c>
      <c r="C696" s="8">
        <v>-1.0353621032593201</v>
      </c>
      <c r="D696" s="8">
        <v>1.5873473205957399E-2</v>
      </c>
    </row>
    <row r="697" spans="1:4" x14ac:dyDescent="0.2">
      <c r="A697" s="8" t="s">
        <v>2679</v>
      </c>
      <c r="B697" s="8" t="s">
        <v>2680</v>
      </c>
      <c r="C697" s="8">
        <v>1.9711652966690301</v>
      </c>
      <c r="D697" s="8">
        <v>4.9506735495026101E-3</v>
      </c>
    </row>
    <row r="698" spans="1:4" x14ac:dyDescent="0.2">
      <c r="A698" s="8" t="s">
        <v>2681</v>
      </c>
      <c r="B698" s="8" t="s">
        <v>2682</v>
      </c>
      <c r="C698" s="8">
        <v>2.0015756972684402</v>
      </c>
      <c r="D698" s="8">
        <v>1.8021439907742401E-4</v>
      </c>
    </row>
    <row r="699" spans="1:4" x14ac:dyDescent="0.2">
      <c r="A699" s="8" t="s">
        <v>2683</v>
      </c>
      <c r="B699" s="8" t="s">
        <v>2684</v>
      </c>
      <c r="C699" s="8">
        <v>-2.6949790611594699</v>
      </c>
      <c r="D699" s="8">
        <v>6.23005707316001E-3</v>
      </c>
    </row>
    <row r="700" spans="1:4" x14ac:dyDescent="0.2">
      <c r="A700" s="8" t="s">
        <v>2685</v>
      </c>
      <c r="B700" s="8" t="s">
        <v>2686</v>
      </c>
      <c r="C700" s="8">
        <v>2.20543923911693</v>
      </c>
      <c r="D700" s="8">
        <v>4.2646628300514001E-2</v>
      </c>
    </row>
    <row r="701" spans="1:4" x14ac:dyDescent="0.2">
      <c r="A701" s="8" t="s">
        <v>2687</v>
      </c>
      <c r="B701" s="8" t="s">
        <v>2688</v>
      </c>
      <c r="C701" s="8">
        <v>1.1220318038225401</v>
      </c>
      <c r="D701" s="8">
        <v>2.3799343220535799E-2</v>
      </c>
    </row>
    <row r="702" spans="1:4" x14ac:dyDescent="0.2">
      <c r="A702" s="8" t="s">
        <v>2689</v>
      </c>
      <c r="B702" s="8" t="s">
        <v>2690</v>
      </c>
      <c r="C702" s="8">
        <v>-1.91957951344858</v>
      </c>
      <c r="D702" s="8">
        <v>2.7782917577008001E-2</v>
      </c>
    </row>
    <row r="703" spans="1:4" x14ac:dyDescent="0.2">
      <c r="A703" s="8" t="s">
        <v>2691</v>
      </c>
      <c r="B703" s="8" t="s">
        <v>2692</v>
      </c>
      <c r="C703" s="8">
        <v>-1.97192318842347</v>
      </c>
      <c r="D703" s="8">
        <v>5.7382959103624903E-3</v>
      </c>
    </row>
    <row r="704" spans="1:4" x14ac:dyDescent="0.2">
      <c r="A704" s="8" t="s">
        <v>2693</v>
      </c>
      <c r="B704" s="8" t="s">
        <v>2694</v>
      </c>
      <c r="C704" s="8">
        <v>-1.36946556453888</v>
      </c>
      <c r="D704" s="8">
        <v>4.5687641269012598E-2</v>
      </c>
    </row>
    <row r="705" spans="1:4" x14ac:dyDescent="0.2">
      <c r="A705" s="8" t="s">
        <v>2695</v>
      </c>
      <c r="B705" s="8" t="s">
        <v>2696</v>
      </c>
      <c r="C705" s="8">
        <v>1.73332500229863</v>
      </c>
      <c r="D705" s="8">
        <v>3.5479887326447701E-3</v>
      </c>
    </row>
    <row r="706" spans="1:4" x14ac:dyDescent="0.2">
      <c r="A706" s="8" t="s">
        <v>2697</v>
      </c>
      <c r="B706" s="8" t="s">
        <v>2698</v>
      </c>
      <c r="C706" s="8">
        <v>1.9482929626604399</v>
      </c>
      <c r="D706" s="8">
        <v>6.6411899088764303E-3</v>
      </c>
    </row>
    <row r="707" spans="1:4" x14ac:dyDescent="0.2">
      <c r="A707" s="8" t="s">
        <v>2699</v>
      </c>
      <c r="B707" s="8" t="s">
        <v>2700</v>
      </c>
      <c r="C707" s="8">
        <v>3.0218519537981399</v>
      </c>
      <c r="D707" s="8">
        <v>7.5122541177706E-3</v>
      </c>
    </row>
    <row r="708" spans="1:4" x14ac:dyDescent="0.2">
      <c r="A708" s="8" t="s">
        <v>2701</v>
      </c>
      <c r="B708" s="8" t="s">
        <v>2702</v>
      </c>
      <c r="C708" s="8">
        <v>-2.3181174789741301</v>
      </c>
      <c r="D708" s="8">
        <v>3.1556754438321899E-3</v>
      </c>
    </row>
    <row r="709" spans="1:4" x14ac:dyDescent="0.2">
      <c r="A709" s="8" t="s">
        <v>2703</v>
      </c>
      <c r="B709" s="8" t="s">
        <v>2704</v>
      </c>
      <c r="C709" s="8">
        <v>-1.4088489457367599</v>
      </c>
      <c r="D709" s="8">
        <v>5.55784954765331E-3</v>
      </c>
    </row>
    <row r="710" spans="1:4" x14ac:dyDescent="0.2">
      <c r="A710" s="8" t="s">
        <v>2705</v>
      </c>
      <c r="B710" s="8" t="s">
        <v>2706</v>
      </c>
      <c r="C710" s="8">
        <v>2.7562384436884502</v>
      </c>
      <c r="D710" s="8">
        <v>3.1069558022046698E-2</v>
      </c>
    </row>
    <row r="711" spans="1:4" x14ac:dyDescent="0.2">
      <c r="A711" s="8" t="s">
        <v>2707</v>
      </c>
      <c r="B711" s="8" t="s">
        <v>2708</v>
      </c>
      <c r="C711" s="8">
        <v>1.7463447900245499</v>
      </c>
      <c r="D711" s="8">
        <v>2.3286348572148199E-2</v>
      </c>
    </row>
    <row r="712" spans="1:4" x14ac:dyDescent="0.2">
      <c r="A712" s="8" t="s">
        <v>2709</v>
      </c>
      <c r="B712" s="8" t="s">
        <v>2710</v>
      </c>
      <c r="C712" s="8">
        <v>-1.16294719291797</v>
      </c>
      <c r="D712" s="8">
        <v>6.39650155201185E-3</v>
      </c>
    </row>
    <row r="713" spans="1:4" x14ac:dyDescent="0.2">
      <c r="A713" s="8" t="s">
        <v>2711</v>
      </c>
      <c r="B713" s="8" t="s">
        <v>2712</v>
      </c>
      <c r="C713" s="8">
        <v>-1.80940017957184</v>
      </c>
      <c r="D713" s="8">
        <v>9.3297732464042802E-3</v>
      </c>
    </row>
    <row r="714" spans="1:4" x14ac:dyDescent="0.2">
      <c r="A714" s="8" t="s">
        <v>2713</v>
      </c>
      <c r="B714" s="8" t="s">
        <v>2714</v>
      </c>
      <c r="C714" s="8">
        <v>-1.6802253372565801</v>
      </c>
      <c r="D714" s="8">
        <v>4.5784396686374101E-2</v>
      </c>
    </row>
    <row r="715" spans="1:4" x14ac:dyDescent="0.2">
      <c r="A715" s="8" t="s">
        <v>2715</v>
      </c>
      <c r="B715" s="8" t="s">
        <v>2716</v>
      </c>
      <c r="C715" s="8">
        <v>1.3990969017653601</v>
      </c>
      <c r="D715" s="8">
        <v>1.4766793590758801E-4</v>
      </c>
    </row>
    <row r="716" spans="1:4" x14ac:dyDescent="0.2">
      <c r="A716" s="8" t="s">
        <v>2717</v>
      </c>
      <c r="B716" s="8" t="s">
        <v>2718</v>
      </c>
      <c r="C716" s="8">
        <v>-1.8427778010276601</v>
      </c>
      <c r="D716" s="8">
        <v>4.1475548547923201E-2</v>
      </c>
    </row>
    <row r="717" spans="1:4" x14ac:dyDescent="0.2">
      <c r="A717" s="8" t="s">
        <v>2719</v>
      </c>
      <c r="B717" s="8" t="s">
        <v>2720</v>
      </c>
      <c r="C717" s="8">
        <v>1.22161550823493</v>
      </c>
      <c r="D717" s="8">
        <v>2.8554081256815401E-2</v>
      </c>
    </row>
    <row r="718" spans="1:4" x14ac:dyDescent="0.2">
      <c r="A718" s="8" t="s">
        <v>2721</v>
      </c>
      <c r="B718" s="8" t="s">
        <v>2722</v>
      </c>
      <c r="C718" s="8">
        <v>1.03128235200448</v>
      </c>
      <c r="D718" s="8">
        <v>3.1608229277948603E-2</v>
      </c>
    </row>
    <row r="719" spans="1:4" x14ac:dyDescent="0.2">
      <c r="A719" s="8" t="s">
        <v>2723</v>
      </c>
      <c r="B719" s="8" t="s">
        <v>2724</v>
      </c>
      <c r="C719" s="8">
        <v>-2.6014894440868401</v>
      </c>
      <c r="D719" s="8">
        <v>3.9180265021786502E-2</v>
      </c>
    </row>
    <row r="720" spans="1:4" x14ac:dyDescent="0.2">
      <c r="A720" s="8" t="s">
        <v>2725</v>
      </c>
      <c r="B720" s="8" t="s">
        <v>2726</v>
      </c>
      <c r="C720" s="8">
        <v>2.5200314054073698</v>
      </c>
      <c r="D720" s="8">
        <v>3.07984430776642E-2</v>
      </c>
    </row>
    <row r="721" spans="1:4" x14ac:dyDescent="0.2">
      <c r="A721" s="8" t="s">
        <v>2727</v>
      </c>
      <c r="B721" s="8" t="s">
        <v>2728</v>
      </c>
      <c r="C721" s="8">
        <v>1.43903262281852</v>
      </c>
      <c r="D721" s="8">
        <v>1.4308019727683001E-2</v>
      </c>
    </row>
    <row r="722" spans="1:4" x14ac:dyDescent="0.2">
      <c r="A722" s="8" t="s">
        <v>2729</v>
      </c>
      <c r="B722" s="8" t="s">
        <v>2730</v>
      </c>
      <c r="C722" s="8">
        <v>-1.1733301165660099</v>
      </c>
      <c r="D722" s="8">
        <v>9.4833088077425805E-3</v>
      </c>
    </row>
    <row r="723" spans="1:4" x14ac:dyDescent="0.2">
      <c r="A723" s="8" t="s">
        <v>2731</v>
      </c>
      <c r="B723" s="8" t="s">
        <v>2732</v>
      </c>
      <c r="C723" s="8">
        <v>-2.79450675564585</v>
      </c>
      <c r="D723" s="8">
        <v>2.7516078092764702E-2</v>
      </c>
    </row>
    <row r="724" spans="1:4" x14ac:dyDescent="0.2">
      <c r="A724" s="8" t="s">
        <v>2733</v>
      </c>
      <c r="B724" s="8" t="s">
        <v>2734</v>
      </c>
      <c r="C724" s="8">
        <v>-2.7230564220822799</v>
      </c>
      <c r="D724" s="8">
        <v>1.8844024123140301E-2</v>
      </c>
    </row>
    <row r="725" spans="1:4" x14ac:dyDescent="0.2">
      <c r="A725" s="8" t="s">
        <v>2735</v>
      </c>
      <c r="B725" s="8" t="s">
        <v>2736</v>
      </c>
      <c r="C725" s="8">
        <v>1.4405701441876999</v>
      </c>
      <c r="D725" s="8">
        <v>3.3279029934201701E-3</v>
      </c>
    </row>
    <row r="726" spans="1:4" x14ac:dyDescent="0.2">
      <c r="A726" s="8" t="s">
        <v>2737</v>
      </c>
      <c r="B726" s="8" t="s">
        <v>2738</v>
      </c>
      <c r="C726" s="8">
        <v>1.5310339437732901</v>
      </c>
      <c r="D726" s="8">
        <v>1.12690982805192E-2</v>
      </c>
    </row>
    <row r="727" spans="1:4" x14ac:dyDescent="0.2">
      <c r="A727" s="8" t="s">
        <v>2739</v>
      </c>
      <c r="B727" s="8" t="s">
        <v>2740</v>
      </c>
      <c r="C727" s="8">
        <v>1.3497787250712401</v>
      </c>
      <c r="D727" s="8">
        <v>6.0738308166324202E-3</v>
      </c>
    </row>
    <row r="728" spans="1:4" x14ac:dyDescent="0.2">
      <c r="A728" s="8" t="s">
        <v>2741</v>
      </c>
      <c r="B728" s="8" t="s">
        <v>2742</v>
      </c>
      <c r="C728" s="8">
        <v>1.1978842972827799</v>
      </c>
      <c r="D728" s="8">
        <v>1.3381330950479599E-4</v>
      </c>
    </row>
    <row r="729" spans="1:4" x14ac:dyDescent="0.2">
      <c r="A729" s="8" t="s">
        <v>2743</v>
      </c>
      <c r="B729" s="8" t="s">
        <v>2744</v>
      </c>
      <c r="C729" s="8">
        <v>-2.22041144347852</v>
      </c>
      <c r="D729" s="8">
        <v>2.7580006857017999E-2</v>
      </c>
    </row>
    <row r="730" spans="1:4" x14ac:dyDescent="0.2">
      <c r="A730" s="8" t="s">
        <v>2745</v>
      </c>
      <c r="B730" s="8" t="s">
        <v>2746</v>
      </c>
      <c r="C730" s="8">
        <v>1.3427646895983401</v>
      </c>
      <c r="D730" s="8">
        <v>1.4539244155441401E-2</v>
      </c>
    </row>
    <row r="731" spans="1:4" x14ac:dyDescent="0.2">
      <c r="A731" s="8" t="s">
        <v>2747</v>
      </c>
      <c r="B731" s="8" t="s">
        <v>2748</v>
      </c>
      <c r="C731" s="8">
        <v>-1.7147634467039801</v>
      </c>
      <c r="D731" s="8">
        <v>7.2808526401681398E-3</v>
      </c>
    </row>
    <row r="732" spans="1:4" x14ac:dyDescent="0.2">
      <c r="A732" s="8" t="s">
        <v>2749</v>
      </c>
      <c r="B732" s="8" t="s">
        <v>2750</v>
      </c>
      <c r="C732" s="8">
        <v>2.54688764515189</v>
      </c>
      <c r="D732" s="8">
        <v>3.8355749154219403E-2</v>
      </c>
    </row>
    <row r="733" spans="1:4" x14ac:dyDescent="0.2">
      <c r="A733" s="8" t="s">
        <v>2751</v>
      </c>
      <c r="B733" s="8" t="s">
        <v>2752</v>
      </c>
      <c r="C733" s="8">
        <v>-1.56314083224587</v>
      </c>
      <c r="D733" s="8">
        <v>3.2336904117665502E-2</v>
      </c>
    </row>
    <row r="734" spans="1:4" x14ac:dyDescent="0.2">
      <c r="A734" s="8" t="s">
        <v>2753</v>
      </c>
      <c r="B734" s="8" t="s">
        <v>2754</v>
      </c>
      <c r="C734" s="8">
        <v>-1.4756823859755499</v>
      </c>
      <c r="D734" s="8">
        <v>3.8761358209264803E-2</v>
      </c>
    </row>
    <row r="735" spans="1:4" x14ac:dyDescent="0.2">
      <c r="A735" s="8" t="s">
        <v>2755</v>
      </c>
      <c r="B735" s="8" t="s">
        <v>2756</v>
      </c>
      <c r="C735" s="8">
        <v>1.17104074732185</v>
      </c>
      <c r="D735" s="8">
        <v>1.9958124592303799E-3</v>
      </c>
    </row>
    <row r="736" spans="1:4" x14ac:dyDescent="0.2">
      <c r="A736" s="8" t="s">
        <v>2757</v>
      </c>
      <c r="B736" s="8" t="s">
        <v>2758</v>
      </c>
      <c r="C736" s="8">
        <v>-2.3417533029167599</v>
      </c>
      <c r="D736" s="8">
        <v>7.5370768606782702E-3</v>
      </c>
    </row>
    <row r="737" spans="1:4" x14ac:dyDescent="0.2">
      <c r="A737" s="8" t="s">
        <v>2759</v>
      </c>
      <c r="B737" s="8" t="s">
        <v>2760</v>
      </c>
      <c r="C737" s="8">
        <v>1.02849676744095</v>
      </c>
      <c r="D737" s="8">
        <v>2.6743529522705398E-2</v>
      </c>
    </row>
    <row r="738" spans="1:4" x14ac:dyDescent="0.2">
      <c r="A738" s="8" t="s">
        <v>2761</v>
      </c>
      <c r="B738" s="8" t="s">
        <v>2762</v>
      </c>
      <c r="C738" s="8">
        <v>-1.96882522774785</v>
      </c>
      <c r="D738" s="8">
        <v>4.9193955734661302E-2</v>
      </c>
    </row>
    <row r="739" spans="1:4" x14ac:dyDescent="0.2">
      <c r="A739" s="8" t="s">
        <v>2763</v>
      </c>
      <c r="B739" s="8" t="s">
        <v>2764</v>
      </c>
      <c r="C739" s="8">
        <v>1.3393511998418799</v>
      </c>
      <c r="D739" s="8">
        <v>3.6382442256890399E-2</v>
      </c>
    </row>
    <row r="740" spans="1:4" x14ac:dyDescent="0.2">
      <c r="A740" s="8" t="s">
        <v>2765</v>
      </c>
      <c r="B740" s="8" t="s">
        <v>2766</v>
      </c>
      <c r="C740" s="8">
        <v>-1.6258580187123</v>
      </c>
      <c r="D740" s="8">
        <v>3.41561872734902E-3</v>
      </c>
    </row>
    <row r="741" spans="1:4" x14ac:dyDescent="0.2">
      <c r="A741" s="8" t="s">
        <v>2767</v>
      </c>
      <c r="B741" s="8" t="s">
        <v>2768</v>
      </c>
      <c r="C741" s="8">
        <v>-1.5410354819908301</v>
      </c>
      <c r="D741" s="8">
        <v>1.4849267209548701E-2</v>
      </c>
    </row>
    <row r="742" spans="1:4" x14ac:dyDescent="0.2">
      <c r="A742" s="8" t="s">
        <v>2769</v>
      </c>
      <c r="B742" s="8" t="s">
        <v>2770</v>
      </c>
      <c r="C742" s="8">
        <v>1.0719367944995899</v>
      </c>
      <c r="D742" s="8">
        <v>1.3242815290236101E-2</v>
      </c>
    </row>
    <row r="743" spans="1:4" x14ac:dyDescent="0.2">
      <c r="A743" s="8" t="s">
        <v>2771</v>
      </c>
      <c r="B743" s="8" t="s">
        <v>2772</v>
      </c>
      <c r="C743" s="8">
        <v>-3.2238104578875499</v>
      </c>
      <c r="D743" s="8">
        <v>2.9924139233505598E-3</v>
      </c>
    </row>
    <row r="744" spans="1:4" x14ac:dyDescent="0.2">
      <c r="A744" s="8" t="s">
        <v>2773</v>
      </c>
      <c r="B744" s="8" t="s">
        <v>2774</v>
      </c>
      <c r="C744" s="8">
        <v>1.0801957025461</v>
      </c>
      <c r="D744" s="8">
        <v>1.47575805168749E-2</v>
      </c>
    </row>
    <row r="745" spans="1:4" x14ac:dyDescent="0.2">
      <c r="A745" s="8" t="s">
        <v>2775</v>
      </c>
      <c r="B745" s="8" t="s">
        <v>2776</v>
      </c>
      <c r="C745" s="8">
        <v>-1.0273587130984101</v>
      </c>
      <c r="D745" s="8">
        <v>2.83733627895561E-2</v>
      </c>
    </row>
    <row r="746" spans="1:4" x14ac:dyDescent="0.2">
      <c r="A746" s="8" t="s">
        <v>2777</v>
      </c>
      <c r="B746" s="8" t="s">
        <v>2778</v>
      </c>
      <c r="C746" s="8">
        <v>1.6539104214204301</v>
      </c>
      <c r="D746" s="8">
        <v>3.9301515745316901E-2</v>
      </c>
    </row>
    <row r="747" spans="1:4" x14ac:dyDescent="0.2">
      <c r="A747" s="8" t="s">
        <v>2779</v>
      </c>
      <c r="B747" s="8" t="s">
        <v>2780</v>
      </c>
      <c r="C747" s="8">
        <v>-1.72520324378504</v>
      </c>
      <c r="D747" s="8">
        <v>3.1663601505448002E-2</v>
      </c>
    </row>
    <row r="748" spans="1:4" x14ac:dyDescent="0.2">
      <c r="A748" s="8" t="s">
        <v>2781</v>
      </c>
      <c r="B748" s="8" t="s">
        <v>2782</v>
      </c>
      <c r="C748" s="8">
        <v>-1.77398867536361</v>
      </c>
      <c r="D748" s="8">
        <v>4.2804403438924101E-3</v>
      </c>
    </row>
    <row r="749" spans="1:4" x14ac:dyDescent="0.2">
      <c r="A749" s="8" t="s">
        <v>2783</v>
      </c>
      <c r="B749" s="8" t="s">
        <v>2784</v>
      </c>
      <c r="C749" s="8">
        <v>-3.4309767201089301</v>
      </c>
      <c r="D749" s="8">
        <v>1.48993066590252E-2</v>
      </c>
    </row>
    <row r="750" spans="1:4" x14ac:dyDescent="0.2">
      <c r="A750" s="8" t="s">
        <v>2785</v>
      </c>
      <c r="B750" s="8" t="s">
        <v>2786</v>
      </c>
      <c r="C750" s="8">
        <v>-1.31273857923513</v>
      </c>
      <c r="D750" s="8">
        <v>1.05440268979048E-4</v>
      </c>
    </row>
    <row r="751" spans="1:4" x14ac:dyDescent="0.2">
      <c r="A751" s="8" t="s">
        <v>2787</v>
      </c>
      <c r="B751" s="8" t="s">
        <v>2788</v>
      </c>
      <c r="C751" s="8">
        <v>1.1422460866648501</v>
      </c>
      <c r="D751" s="8">
        <v>1.23058950394037E-2</v>
      </c>
    </row>
    <row r="752" spans="1:4" x14ac:dyDescent="0.2">
      <c r="A752" s="8" t="s">
        <v>2789</v>
      </c>
      <c r="B752" s="8" t="s">
        <v>2790</v>
      </c>
      <c r="C752" s="8">
        <v>1.6903781857373401</v>
      </c>
      <c r="D752" s="8">
        <v>2.94325963477002E-2</v>
      </c>
    </row>
    <row r="753" spans="1:4" x14ac:dyDescent="0.2">
      <c r="A753" s="8" t="s">
        <v>2791</v>
      </c>
      <c r="B753" s="8" t="s">
        <v>2792</v>
      </c>
      <c r="C753" s="8">
        <v>1.0882146009776701</v>
      </c>
      <c r="D753" s="8">
        <v>8.9123571596826604E-3</v>
      </c>
    </row>
    <row r="754" spans="1:4" x14ac:dyDescent="0.2">
      <c r="A754" s="8" t="s">
        <v>2793</v>
      </c>
      <c r="B754" s="8" t="s">
        <v>2794</v>
      </c>
      <c r="C754" s="8">
        <v>2.3874609934988298</v>
      </c>
      <c r="D754" s="8">
        <v>5.2046348067830801E-3</v>
      </c>
    </row>
    <row r="755" spans="1:4" x14ac:dyDescent="0.2">
      <c r="A755" s="8" t="s">
        <v>2795</v>
      </c>
      <c r="B755" s="8" t="s">
        <v>2796</v>
      </c>
      <c r="C755" s="8">
        <v>1.30237289091482</v>
      </c>
      <c r="D755" s="8">
        <v>4.06298739651457E-3</v>
      </c>
    </row>
    <row r="756" spans="1:4" x14ac:dyDescent="0.2">
      <c r="A756" s="8" t="s">
        <v>2797</v>
      </c>
      <c r="B756" s="8" t="s">
        <v>2798</v>
      </c>
      <c r="C756" s="8">
        <v>1.38271706111745</v>
      </c>
      <c r="D756" s="8">
        <v>1.11428642662282E-2</v>
      </c>
    </row>
    <row r="757" spans="1:4" x14ac:dyDescent="0.2">
      <c r="A757" s="8" t="s">
        <v>2799</v>
      </c>
      <c r="B757" s="8" t="s">
        <v>2800</v>
      </c>
      <c r="C757" s="8">
        <v>1.2586692789289999</v>
      </c>
      <c r="D757" s="8">
        <v>7.6511682821533804E-3</v>
      </c>
    </row>
    <row r="758" spans="1:4" x14ac:dyDescent="0.2">
      <c r="A758" s="8" t="s">
        <v>2801</v>
      </c>
      <c r="B758" s="8" t="s">
        <v>2802</v>
      </c>
      <c r="C758" s="8">
        <v>-1.0686544920705301</v>
      </c>
      <c r="D758" s="8">
        <v>1.40419744425398E-2</v>
      </c>
    </row>
    <row r="759" spans="1:4" x14ac:dyDescent="0.2">
      <c r="A759" s="8" t="s">
        <v>2803</v>
      </c>
      <c r="B759" s="8" t="s">
        <v>2804</v>
      </c>
      <c r="C759" s="8">
        <v>-2.3625263744201801</v>
      </c>
      <c r="D759" s="8">
        <v>2.89983738382186E-2</v>
      </c>
    </row>
    <row r="760" spans="1:4" x14ac:dyDescent="0.2">
      <c r="A760" s="8" t="s">
        <v>2805</v>
      </c>
      <c r="B760" s="8" t="s">
        <v>2806</v>
      </c>
      <c r="C760" s="8">
        <v>-1.0345599201975899</v>
      </c>
      <c r="D760" s="8">
        <v>3.1256985911928298E-2</v>
      </c>
    </row>
    <row r="761" spans="1:4" x14ac:dyDescent="0.2">
      <c r="A761" s="8" t="s">
        <v>2807</v>
      </c>
      <c r="B761" s="8" t="s">
        <v>2808</v>
      </c>
      <c r="C761" s="8">
        <v>1.0988143687456899</v>
      </c>
      <c r="D761" s="8">
        <v>3.5820001023238401E-2</v>
      </c>
    </row>
    <row r="762" spans="1:4" x14ac:dyDescent="0.2">
      <c r="A762" s="8" t="s">
        <v>2809</v>
      </c>
      <c r="B762" s="8" t="s">
        <v>2810</v>
      </c>
      <c r="C762" s="8">
        <v>-1.1368539847552099</v>
      </c>
      <c r="D762" s="8">
        <v>4.0341553841497903E-3</v>
      </c>
    </row>
    <row r="763" spans="1:4" x14ac:dyDescent="0.2">
      <c r="A763" s="8" t="s">
        <v>2811</v>
      </c>
      <c r="B763" s="8" t="s">
        <v>2812</v>
      </c>
      <c r="C763" s="8">
        <v>-2.0864761357094701</v>
      </c>
      <c r="D763" s="8">
        <v>4.0978176847131502E-2</v>
      </c>
    </row>
    <row r="764" spans="1:4" x14ac:dyDescent="0.2">
      <c r="A764" s="8" t="s">
        <v>2813</v>
      </c>
      <c r="B764" s="8" t="s">
        <v>2814</v>
      </c>
      <c r="C764" s="8">
        <v>1.3627829765675199</v>
      </c>
      <c r="D764" s="8">
        <v>2.0576968390148401E-2</v>
      </c>
    </row>
    <row r="765" spans="1:4" x14ac:dyDescent="0.2">
      <c r="A765" s="8" t="s">
        <v>2815</v>
      </c>
      <c r="B765" s="8" t="s">
        <v>2816</v>
      </c>
      <c r="C765" s="8">
        <v>-3.4408417649578902</v>
      </c>
      <c r="D765" s="8">
        <v>5.46144570462412E-3</v>
      </c>
    </row>
    <row r="766" spans="1:4" x14ac:dyDescent="0.2">
      <c r="A766" s="8" t="s">
        <v>2817</v>
      </c>
      <c r="B766" s="8" t="s">
        <v>2818</v>
      </c>
      <c r="C766" s="8">
        <v>-1.32678274105912</v>
      </c>
      <c r="D766" s="8">
        <v>2.12861344304585E-2</v>
      </c>
    </row>
    <row r="767" spans="1:4" x14ac:dyDescent="0.2">
      <c r="A767" s="8" t="s">
        <v>2819</v>
      </c>
      <c r="B767" s="8" t="s">
        <v>2820</v>
      </c>
      <c r="C767" s="8">
        <v>-1.23318169301912</v>
      </c>
      <c r="D767" s="8">
        <v>3.8202517755094298E-2</v>
      </c>
    </row>
    <row r="768" spans="1:4" x14ac:dyDescent="0.2">
      <c r="A768" s="8" t="s">
        <v>2821</v>
      </c>
      <c r="B768" s="8" t="s">
        <v>2822</v>
      </c>
      <c r="C768" s="8">
        <v>-1.0861046804446199</v>
      </c>
      <c r="D768" s="8">
        <v>3.14300781514186E-2</v>
      </c>
    </row>
    <row r="769" spans="1:4" x14ac:dyDescent="0.2">
      <c r="A769" s="8" t="s">
        <v>2823</v>
      </c>
      <c r="B769" s="8" t="s">
        <v>2824</v>
      </c>
      <c r="C769" s="8">
        <v>-1.42867746661155</v>
      </c>
      <c r="D769" s="8">
        <v>1.8079425515363099E-2</v>
      </c>
    </row>
    <row r="770" spans="1:4" x14ac:dyDescent="0.2">
      <c r="A770" s="8" t="s">
        <v>2825</v>
      </c>
      <c r="B770" s="8" t="s">
        <v>2826</v>
      </c>
      <c r="C770" s="8">
        <v>3.4151251835697201</v>
      </c>
      <c r="D770" s="8">
        <v>8.0543941337524304E-3</v>
      </c>
    </row>
    <row r="771" spans="1:4" x14ac:dyDescent="0.2">
      <c r="A771" s="8" t="s">
        <v>2827</v>
      </c>
      <c r="B771" s="8" t="s">
        <v>2828</v>
      </c>
      <c r="C771" s="8">
        <v>-1.04814879325771</v>
      </c>
      <c r="D771" s="8">
        <v>3.9349969503408501E-2</v>
      </c>
    </row>
    <row r="772" spans="1:4" x14ac:dyDescent="0.2">
      <c r="A772" s="8" t="s">
        <v>2829</v>
      </c>
      <c r="B772" s="8" t="s">
        <v>2830</v>
      </c>
      <c r="C772" s="8">
        <v>1.1376738885397999</v>
      </c>
      <c r="D772" s="8">
        <v>2.7090892821914898E-3</v>
      </c>
    </row>
    <row r="773" spans="1:4" x14ac:dyDescent="0.2">
      <c r="A773" s="8" t="s">
        <v>2831</v>
      </c>
      <c r="B773" s="8" t="s">
        <v>2832</v>
      </c>
      <c r="C773" s="8">
        <v>1.1274117755523301</v>
      </c>
      <c r="D773" s="8">
        <v>5.6007706254016301E-4</v>
      </c>
    </row>
    <row r="774" spans="1:4" x14ac:dyDescent="0.2">
      <c r="A774" s="8" t="s">
        <v>2833</v>
      </c>
      <c r="B774" s="8" t="s">
        <v>2834</v>
      </c>
      <c r="C774" s="8">
        <v>-2.7948261253726998</v>
      </c>
      <c r="D774" s="8">
        <v>6.6369537825200497E-4</v>
      </c>
    </row>
    <row r="775" spans="1:4" x14ac:dyDescent="0.2">
      <c r="A775" s="8" t="s">
        <v>2835</v>
      </c>
      <c r="B775" s="8" t="s">
        <v>2836</v>
      </c>
      <c r="C775" s="8">
        <v>1.0811111725154701</v>
      </c>
      <c r="D775" s="8">
        <v>1.78933020346413E-2</v>
      </c>
    </row>
    <row r="776" spans="1:4" x14ac:dyDescent="0.2">
      <c r="A776" s="8" t="s">
        <v>2837</v>
      </c>
      <c r="B776" s="8" t="s">
        <v>2838</v>
      </c>
      <c r="C776" s="8">
        <v>-1.7856710945319001</v>
      </c>
      <c r="D776" s="8">
        <v>1.4520486759044399E-2</v>
      </c>
    </row>
    <row r="777" spans="1:4" x14ac:dyDescent="0.2">
      <c r="A777" s="8" t="s">
        <v>2839</v>
      </c>
      <c r="B777" s="8" t="s">
        <v>2840</v>
      </c>
      <c r="C777" s="8">
        <v>-1.73158277310909</v>
      </c>
      <c r="D777" s="8">
        <v>8.09837298542955E-3</v>
      </c>
    </row>
    <row r="778" spans="1:4" x14ac:dyDescent="0.2">
      <c r="A778" s="8" t="s">
        <v>2841</v>
      </c>
      <c r="B778" s="8" t="s">
        <v>2842</v>
      </c>
      <c r="C778" s="8">
        <v>1.14862145821782</v>
      </c>
      <c r="D778" s="8">
        <v>3.2497068053742601E-3</v>
      </c>
    </row>
    <row r="779" spans="1:4" x14ac:dyDescent="0.2">
      <c r="A779" s="8" t="s">
        <v>2843</v>
      </c>
      <c r="B779" s="8" t="s">
        <v>2844</v>
      </c>
      <c r="C779" s="8">
        <v>-3.3340327502199898</v>
      </c>
      <c r="D779" s="8">
        <v>4.7298563197160998E-2</v>
      </c>
    </row>
    <row r="780" spans="1:4" x14ac:dyDescent="0.2">
      <c r="A780" s="8" t="s">
        <v>2845</v>
      </c>
      <c r="B780" s="8" t="s">
        <v>2846</v>
      </c>
      <c r="C780" s="8">
        <v>-2.8236489009752299</v>
      </c>
      <c r="D780" s="8">
        <v>5.2849964169811E-3</v>
      </c>
    </row>
    <row r="781" spans="1:4" x14ac:dyDescent="0.2">
      <c r="A781" s="8" t="s">
        <v>2847</v>
      </c>
      <c r="B781" s="8" t="s">
        <v>2848</v>
      </c>
      <c r="C781" s="8">
        <v>-1.52032169661109</v>
      </c>
      <c r="D781" s="8">
        <v>4.4056807317598999E-2</v>
      </c>
    </row>
    <row r="782" spans="1:4" x14ac:dyDescent="0.2">
      <c r="A782" s="8" t="s">
        <v>2849</v>
      </c>
      <c r="B782" s="8" t="s">
        <v>2850</v>
      </c>
      <c r="C782" s="8">
        <v>2.3503785618910502</v>
      </c>
      <c r="D782" s="8">
        <v>2.5436143346352299E-2</v>
      </c>
    </row>
    <row r="783" spans="1:4" x14ac:dyDescent="0.2">
      <c r="A783" s="8" t="s">
        <v>2851</v>
      </c>
      <c r="B783" s="8" t="s">
        <v>2852</v>
      </c>
      <c r="C783" s="8">
        <v>-3.1449123502581702</v>
      </c>
      <c r="D783" s="8">
        <v>4.8628572280214902E-2</v>
      </c>
    </row>
    <row r="784" spans="1:4" x14ac:dyDescent="0.2">
      <c r="A784" s="8" t="s">
        <v>2853</v>
      </c>
      <c r="B784" s="8" t="s">
        <v>2854</v>
      </c>
      <c r="C784" s="8">
        <v>-1.57429721233728</v>
      </c>
      <c r="D784" s="8">
        <v>4.8764449639871699E-2</v>
      </c>
    </row>
    <row r="785" spans="1:4" x14ac:dyDescent="0.2">
      <c r="A785" s="8" t="s">
        <v>2855</v>
      </c>
      <c r="B785" s="8" t="s">
        <v>2856</v>
      </c>
      <c r="C785" s="8">
        <v>-1.56130853005342</v>
      </c>
      <c r="D785" s="8">
        <v>3.1143405228856901E-2</v>
      </c>
    </row>
    <row r="786" spans="1:4" x14ac:dyDescent="0.2">
      <c r="A786" s="8" t="s">
        <v>2857</v>
      </c>
      <c r="B786" s="8" t="s">
        <v>2858</v>
      </c>
      <c r="C786" s="8">
        <v>1.9091620642390399</v>
      </c>
      <c r="D786" s="8">
        <v>2.76506114318174E-3</v>
      </c>
    </row>
    <row r="787" spans="1:4" x14ac:dyDescent="0.2">
      <c r="A787" s="8" t="s">
        <v>2859</v>
      </c>
      <c r="B787" s="8" t="s">
        <v>2860</v>
      </c>
      <c r="C787" s="8">
        <v>-1.0320734235875899</v>
      </c>
      <c r="D787" s="8">
        <v>3.26512529428888E-2</v>
      </c>
    </row>
    <row r="788" spans="1:4" x14ac:dyDescent="0.2">
      <c r="A788" s="8" t="s">
        <v>2861</v>
      </c>
      <c r="B788" s="8" t="s">
        <v>2862</v>
      </c>
      <c r="C788" s="8">
        <v>1.4984462705620001</v>
      </c>
      <c r="D788" s="8">
        <v>9.1600052285087004E-3</v>
      </c>
    </row>
    <row r="789" spans="1:4" x14ac:dyDescent="0.2">
      <c r="A789" s="8" t="s">
        <v>2863</v>
      </c>
      <c r="B789" s="8" t="s">
        <v>2864</v>
      </c>
      <c r="C789" s="8">
        <v>-2.7918779800065301</v>
      </c>
      <c r="D789" s="8">
        <v>1.42519876215885E-2</v>
      </c>
    </row>
    <row r="790" spans="1:4" x14ac:dyDescent="0.2">
      <c r="A790" s="8" t="s">
        <v>2865</v>
      </c>
      <c r="B790" s="8" t="s">
        <v>2866</v>
      </c>
      <c r="C790" s="8">
        <v>-1.7795266021978899</v>
      </c>
      <c r="D790" s="8">
        <v>4.0303090840100003E-2</v>
      </c>
    </row>
    <row r="791" spans="1:4" x14ac:dyDescent="0.2">
      <c r="A791" s="8" t="s">
        <v>2867</v>
      </c>
      <c r="B791" s="8" t="s">
        <v>2868</v>
      </c>
      <c r="C791" s="8">
        <v>1.34015063445334</v>
      </c>
      <c r="D791" s="8">
        <v>3.0207769038090901E-2</v>
      </c>
    </row>
    <row r="792" spans="1:4" x14ac:dyDescent="0.2">
      <c r="A792" s="8" t="s">
        <v>2869</v>
      </c>
      <c r="B792" s="8" t="s">
        <v>2870</v>
      </c>
      <c r="C792" s="8">
        <v>-1.0650068270154001</v>
      </c>
      <c r="D792" s="8">
        <v>5.6735188188715695E-4</v>
      </c>
    </row>
    <row r="793" spans="1:4" x14ac:dyDescent="0.2">
      <c r="A793" s="8" t="s">
        <v>2871</v>
      </c>
      <c r="B793" s="8" t="s">
        <v>2872</v>
      </c>
      <c r="C793" s="8">
        <v>-1.08038221282108</v>
      </c>
      <c r="D793" s="8">
        <v>2.2341097968127801E-2</v>
      </c>
    </row>
    <row r="794" spans="1:4" x14ac:dyDescent="0.2">
      <c r="A794" s="8" t="s">
        <v>2873</v>
      </c>
      <c r="B794" s="8" t="s">
        <v>2874</v>
      </c>
      <c r="C794" s="8">
        <v>-1.98898583317203</v>
      </c>
      <c r="D794" s="8">
        <v>2.11295873724986E-2</v>
      </c>
    </row>
    <row r="795" spans="1:4" x14ac:dyDescent="0.2">
      <c r="A795" s="8" t="s">
        <v>2875</v>
      </c>
      <c r="B795" s="8" t="s">
        <v>2876</v>
      </c>
      <c r="C795" s="8">
        <v>-2.05470944647307</v>
      </c>
      <c r="D795" s="8">
        <v>1.9654451260210102E-3</v>
      </c>
    </row>
    <row r="796" spans="1:4" x14ac:dyDescent="0.2">
      <c r="A796" s="8" t="s">
        <v>2877</v>
      </c>
      <c r="B796" s="8" t="s">
        <v>2878</v>
      </c>
      <c r="C796" s="8">
        <v>-2.55191741471452</v>
      </c>
      <c r="D796" s="8">
        <v>3.24890536611881E-3</v>
      </c>
    </row>
    <row r="797" spans="1:4" x14ac:dyDescent="0.2">
      <c r="A797" s="8" t="s">
        <v>2879</v>
      </c>
      <c r="B797" s="8" t="s">
        <v>2880</v>
      </c>
      <c r="C797" s="8">
        <v>-3.6611191095593099</v>
      </c>
      <c r="D797" s="8">
        <v>1.5171640059243101E-4</v>
      </c>
    </row>
    <row r="798" spans="1:4" x14ac:dyDescent="0.2">
      <c r="A798" s="8" t="s">
        <v>2881</v>
      </c>
      <c r="B798" s="8" t="s">
        <v>2882</v>
      </c>
      <c r="C798" s="8">
        <v>-1.3064438091919099</v>
      </c>
      <c r="D798" s="8">
        <v>1.1751231427365999E-2</v>
      </c>
    </row>
    <row r="799" spans="1:4" x14ac:dyDescent="0.2">
      <c r="A799" s="8" t="s">
        <v>2883</v>
      </c>
      <c r="B799" s="8" t="s">
        <v>2884</v>
      </c>
      <c r="C799" s="8">
        <v>-3.1173899819237199</v>
      </c>
      <c r="D799" s="8">
        <v>1.8480634664284699E-3</v>
      </c>
    </row>
    <row r="800" spans="1:4" x14ac:dyDescent="0.2">
      <c r="A800" s="8" t="s">
        <v>2885</v>
      </c>
      <c r="B800" s="8" t="s">
        <v>2886</v>
      </c>
      <c r="C800" s="8">
        <v>1.33838539874958</v>
      </c>
      <c r="D800" s="8">
        <v>9.3241539128704996E-3</v>
      </c>
    </row>
    <row r="801" spans="1:4" x14ac:dyDescent="0.2">
      <c r="A801" s="8" t="s">
        <v>2887</v>
      </c>
      <c r="B801" s="8" t="s">
        <v>2888</v>
      </c>
      <c r="C801" s="8">
        <v>-1.62974298582619</v>
      </c>
      <c r="D801" s="8">
        <v>3.0317250395124899E-2</v>
      </c>
    </row>
    <row r="802" spans="1:4" x14ac:dyDescent="0.2">
      <c r="A802" s="8" t="s">
        <v>2889</v>
      </c>
      <c r="B802" s="8" t="s">
        <v>2890</v>
      </c>
      <c r="C802" s="8">
        <v>2.85424580587076</v>
      </c>
      <c r="D802" s="8">
        <v>2.4840182677690399E-2</v>
      </c>
    </row>
    <row r="803" spans="1:4" x14ac:dyDescent="0.2">
      <c r="A803" s="8" t="s">
        <v>2891</v>
      </c>
      <c r="B803" s="8" t="s">
        <v>2892</v>
      </c>
      <c r="C803" s="8">
        <v>2.0564321482221799</v>
      </c>
      <c r="D803" s="8">
        <v>3.2067181112184803E-2</v>
      </c>
    </row>
    <row r="804" spans="1:4" x14ac:dyDescent="0.2">
      <c r="A804" s="8" t="s">
        <v>2893</v>
      </c>
      <c r="B804" s="8" t="s">
        <v>2894</v>
      </c>
      <c r="C804" s="8">
        <v>1.99882146988722</v>
      </c>
      <c r="D804" s="8">
        <v>4.55352167731247E-2</v>
      </c>
    </row>
    <row r="805" spans="1:4" x14ac:dyDescent="0.2">
      <c r="A805" s="8" t="s">
        <v>2895</v>
      </c>
      <c r="B805" s="8" t="s">
        <v>2896</v>
      </c>
      <c r="C805" s="8">
        <v>-2.5391537534000901</v>
      </c>
      <c r="D805" s="8">
        <v>1.8695578365548399E-3</v>
      </c>
    </row>
    <row r="806" spans="1:4" x14ac:dyDescent="0.2">
      <c r="A806" s="8" t="s">
        <v>2897</v>
      </c>
      <c r="B806" s="8" t="s">
        <v>2898</v>
      </c>
      <c r="C806" s="8">
        <v>1.1295666417477499</v>
      </c>
      <c r="D806" s="8">
        <v>9.4552130762652598E-4</v>
      </c>
    </row>
    <row r="807" spans="1:4" x14ac:dyDescent="0.2">
      <c r="A807" s="8" t="s">
        <v>2899</v>
      </c>
      <c r="B807" s="8" t="s">
        <v>2900</v>
      </c>
      <c r="C807" s="8">
        <v>1.87691456769788</v>
      </c>
      <c r="D807" s="8">
        <v>6.8328399566773296E-3</v>
      </c>
    </row>
    <row r="808" spans="1:4" x14ac:dyDescent="0.2">
      <c r="A808" s="8" t="s">
        <v>2901</v>
      </c>
      <c r="B808" s="8" t="s">
        <v>2902</v>
      </c>
      <c r="C808" s="8">
        <v>1.3922574132947101</v>
      </c>
      <c r="D808" s="8">
        <v>1.04777457237866E-2</v>
      </c>
    </row>
    <row r="809" spans="1:4" x14ac:dyDescent="0.2">
      <c r="A809" s="8" t="s">
        <v>2903</v>
      </c>
      <c r="B809" s="8" t="s">
        <v>2904</v>
      </c>
      <c r="C809" s="8">
        <v>2.4318716249485299</v>
      </c>
      <c r="D809" s="8">
        <v>3.5339070874181801E-3</v>
      </c>
    </row>
    <row r="810" spans="1:4" x14ac:dyDescent="0.2">
      <c r="A810" s="8" t="s">
        <v>2905</v>
      </c>
      <c r="B810" s="8" t="s">
        <v>2906</v>
      </c>
      <c r="C810" s="8">
        <v>1.2796667658068099</v>
      </c>
      <c r="D810" s="8">
        <v>4.6209649696269299E-3</v>
      </c>
    </row>
    <row r="811" spans="1:4" x14ac:dyDescent="0.2">
      <c r="A811" s="8" t="s">
        <v>2907</v>
      </c>
      <c r="B811" s="8" t="s">
        <v>2908</v>
      </c>
      <c r="C811" s="8">
        <v>-1.1743124707937</v>
      </c>
      <c r="D811" s="8">
        <v>3.7023137023736802E-2</v>
      </c>
    </row>
    <row r="812" spans="1:4" x14ac:dyDescent="0.2">
      <c r="A812" s="8" t="s">
        <v>2909</v>
      </c>
      <c r="B812" s="8" t="s">
        <v>2910</v>
      </c>
      <c r="C812" s="8">
        <v>-1.1259417554437401</v>
      </c>
      <c r="D812" s="8">
        <v>1.78291813980796E-2</v>
      </c>
    </row>
    <row r="813" spans="1:4" x14ac:dyDescent="0.2">
      <c r="A813" s="8" t="s">
        <v>2911</v>
      </c>
      <c r="B813" s="8" t="s">
        <v>2912</v>
      </c>
      <c r="C813" s="8">
        <v>1.9769505604639099</v>
      </c>
      <c r="D813" s="8">
        <v>4.4829339415079902E-4</v>
      </c>
    </row>
    <row r="814" spans="1:4" x14ac:dyDescent="0.2">
      <c r="A814" s="8" t="s">
        <v>2913</v>
      </c>
      <c r="B814" s="8" t="s">
        <v>2914</v>
      </c>
      <c r="C814" s="8">
        <v>1.9636258585791799</v>
      </c>
      <c r="D814" s="8">
        <v>1.00663801268213E-2</v>
      </c>
    </row>
    <row r="815" spans="1:4" x14ac:dyDescent="0.2">
      <c r="A815" s="8" t="s">
        <v>2915</v>
      </c>
      <c r="B815" s="8" t="s">
        <v>2916</v>
      </c>
      <c r="C815" s="8">
        <v>-1.4591514362806</v>
      </c>
      <c r="D815" s="8">
        <v>1.9878206480019801E-2</v>
      </c>
    </row>
    <row r="816" spans="1:4" x14ac:dyDescent="0.2">
      <c r="A816" s="8" t="s">
        <v>2917</v>
      </c>
      <c r="B816" s="8" t="s">
        <v>2918</v>
      </c>
      <c r="C816" s="8">
        <v>-1.78742075733836</v>
      </c>
      <c r="D816" s="8">
        <v>2.7527889752696402E-3</v>
      </c>
    </row>
    <row r="817" spans="1:4" x14ac:dyDescent="0.2">
      <c r="A817" s="8" t="s">
        <v>2919</v>
      </c>
      <c r="B817" s="8" t="s">
        <v>2920</v>
      </c>
      <c r="C817" s="8">
        <v>1.11187440017146</v>
      </c>
      <c r="D817" s="8">
        <v>1.5623025784589101E-2</v>
      </c>
    </row>
    <row r="818" spans="1:4" x14ac:dyDescent="0.2">
      <c r="A818" s="8" t="s">
        <v>2921</v>
      </c>
      <c r="B818" s="8" t="s">
        <v>2922</v>
      </c>
      <c r="C818" s="8">
        <v>2.4764176411696202</v>
      </c>
      <c r="D818" s="8">
        <v>3.06561557382403E-2</v>
      </c>
    </row>
    <row r="819" spans="1:4" x14ac:dyDescent="0.2">
      <c r="A819" s="8" t="s">
        <v>2923</v>
      </c>
      <c r="B819" s="8" t="s">
        <v>2924</v>
      </c>
      <c r="C819" s="8">
        <v>2.2102254136531001</v>
      </c>
      <c r="D819" s="8">
        <v>9.8031034581781192E-3</v>
      </c>
    </row>
    <row r="820" spans="1:4" x14ac:dyDescent="0.2">
      <c r="A820" s="8" t="s">
        <v>2925</v>
      </c>
      <c r="B820" s="8" t="s">
        <v>2926</v>
      </c>
      <c r="C820" s="8">
        <v>-1.6460154412430801</v>
      </c>
      <c r="D820" s="8">
        <v>2.0428853810265199E-2</v>
      </c>
    </row>
    <row r="821" spans="1:4" x14ac:dyDescent="0.2">
      <c r="A821" s="8" t="s">
        <v>2927</v>
      </c>
      <c r="B821" s="8" t="s">
        <v>2928</v>
      </c>
      <c r="C821" s="8">
        <v>-1.59542459560966</v>
      </c>
      <c r="D821" s="8">
        <v>5.6410751077940399E-3</v>
      </c>
    </row>
    <row r="822" spans="1:4" x14ac:dyDescent="0.2">
      <c r="A822" s="8" t="s">
        <v>2929</v>
      </c>
      <c r="B822" s="8" t="s">
        <v>2930</v>
      </c>
      <c r="C822" s="8">
        <v>1.5853703339501499</v>
      </c>
      <c r="D822" s="8">
        <v>4.4027180649965202E-3</v>
      </c>
    </row>
    <row r="823" spans="1:4" x14ac:dyDescent="0.2">
      <c r="A823" s="8" t="s">
        <v>2931</v>
      </c>
      <c r="B823" s="8" t="s">
        <v>2932</v>
      </c>
      <c r="C823" s="8">
        <v>1.6322265436080901</v>
      </c>
      <c r="D823" s="8">
        <v>1.51310449182149E-2</v>
      </c>
    </row>
    <row r="824" spans="1:4" x14ac:dyDescent="0.2">
      <c r="A824" s="8" t="s">
        <v>2933</v>
      </c>
      <c r="B824" s="8" t="s">
        <v>2934</v>
      </c>
      <c r="C824" s="8">
        <v>1.99290436480052</v>
      </c>
      <c r="D824" s="8">
        <v>1.1065472788707601E-2</v>
      </c>
    </row>
    <row r="825" spans="1:4" x14ac:dyDescent="0.2">
      <c r="A825" s="8" t="s">
        <v>2935</v>
      </c>
      <c r="B825" s="8" t="s">
        <v>2936</v>
      </c>
      <c r="C825" s="8">
        <v>-1.2166063216479599</v>
      </c>
      <c r="D825" s="8">
        <v>4.5651465380702499E-2</v>
      </c>
    </row>
    <row r="826" spans="1:4" x14ac:dyDescent="0.2">
      <c r="A826" s="8" t="s">
        <v>2937</v>
      </c>
      <c r="B826" s="8" t="s">
        <v>2938</v>
      </c>
      <c r="C826" s="8">
        <v>1.4720806444129499</v>
      </c>
      <c r="D826" s="8">
        <v>3.7825380032671399E-2</v>
      </c>
    </row>
    <row r="827" spans="1:4" x14ac:dyDescent="0.2">
      <c r="A827" s="8" t="s">
        <v>2939</v>
      </c>
      <c r="B827" s="8" t="s">
        <v>2940</v>
      </c>
      <c r="C827" s="8">
        <v>1.65712396236753</v>
      </c>
      <c r="D827" s="8">
        <v>3.5562151167553402E-2</v>
      </c>
    </row>
    <row r="828" spans="1:4" x14ac:dyDescent="0.2">
      <c r="A828" s="8" t="s">
        <v>2941</v>
      </c>
      <c r="B828" s="8" t="s">
        <v>2942</v>
      </c>
      <c r="C828" s="8">
        <v>1.70643461212666</v>
      </c>
      <c r="D828" s="8">
        <v>3.5480387577856203E-2</v>
      </c>
    </row>
    <row r="829" spans="1:4" x14ac:dyDescent="0.2">
      <c r="A829" s="8" t="s">
        <v>2943</v>
      </c>
      <c r="B829" s="8" t="s">
        <v>2944</v>
      </c>
      <c r="C829" s="8">
        <v>-2.5954891668929401</v>
      </c>
      <c r="D829" s="8">
        <v>3.41670160052963E-2</v>
      </c>
    </row>
    <row r="830" spans="1:4" x14ac:dyDescent="0.2">
      <c r="A830" s="8" t="s">
        <v>2945</v>
      </c>
      <c r="B830" s="8" t="s">
        <v>2946</v>
      </c>
      <c r="C830" s="8">
        <v>1.1281488451100301</v>
      </c>
      <c r="D830" s="8">
        <v>4.0228227339334899E-2</v>
      </c>
    </row>
    <row r="831" spans="1:4" x14ac:dyDescent="0.2">
      <c r="A831" s="8" t="s">
        <v>2947</v>
      </c>
      <c r="B831" s="8" t="s">
        <v>2948</v>
      </c>
      <c r="C831" s="8">
        <v>-1.40683870181708</v>
      </c>
      <c r="D831" s="8">
        <v>2.19325033823617E-2</v>
      </c>
    </row>
    <row r="832" spans="1:4" x14ac:dyDescent="0.2">
      <c r="A832" s="8" t="s">
        <v>2949</v>
      </c>
      <c r="B832" s="8" t="s">
        <v>2950</v>
      </c>
      <c r="C832" s="8">
        <v>-1.6129588431716799</v>
      </c>
      <c r="D832" s="8">
        <v>2.882022031581E-2</v>
      </c>
    </row>
    <row r="833" spans="1:4" x14ac:dyDescent="0.2">
      <c r="A833" s="8" t="s">
        <v>2951</v>
      </c>
      <c r="B833" s="8" t="s">
        <v>2952</v>
      </c>
      <c r="C833" s="8">
        <v>-1.1625510756877</v>
      </c>
      <c r="D833" s="8">
        <v>3.5309549650752198E-2</v>
      </c>
    </row>
    <row r="834" spans="1:4" x14ac:dyDescent="0.2">
      <c r="A834" s="8" t="s">
        <v>2953</v>
      </c>
      <c r="B834" s="8" t="s">
        <v>2954</v>
      </c>
      <c r="C834" s="8">
        <v>2.8648606541336599</v>
      </c>
      <c r="D834" s="8">
        <v>2.0115911121320301E-2</v>
      </c>
    </row>
    <row r="835" spans="1:4" x14ac:dyDescent="0.2">
      <c r="A835" s="8" t="s">
        <v>2955</v>
      </c>
      <c r="B835" s="8" t="s">
        <v>2956</v>
      </c>
      <c r="C835" s="8">
        <v>-1.89756129351883</v>
      </c>
      <c r="D835" s="8">
        <v>4.1122367258304097E-3</v>
      </c>
    </row>
    <row r="836" spans="1:4" x14ac:dyDescent="0.2">
      <c r="A836" s="8" t="s">
        <v>2957</v>
      </c>
      <c r="B836" s="8" t="s">
        <v>2958</v>
      </c>
      <c r="C836" s="8">
        <v>1.1701599632153801</v>
      </c>
      <c r="D836" s="8">
        <v>5.4961013796894003E-3</v>
      </c>
    </row>
    <row r="837" spans="1:4" x14ac:dyDescent="0.2">
      <c r="A837" s="8" t="s">
        <v>2959</v>
      </c>
      <c r="B837" s="8" t="s">
        <v>2960</v>
      </c>
      <c r="C837" s="8">
        <v>1.41659240674939</v>
      </c>
      <c r="D837" s="8">
        <v>2.60017496204316E-2</v>
      </c>
    </row>
    <row r="838" spans="1:4" x14ac:dyDescent="0.2">
      <c r="A838" s="8" t="s">
        <v>2961</v>
      </c>
      <c r="B838" s="8" t="s">
        <v>2962</v>
      </c>
      <c r="C838" s="8">
        <v>-1.0813257570955299</v>
      </c>
      <c r="D838" s="8">
        <v>3.65247707819603E-2</v>
      </c>
    </row>
    <row r="839" spans="1:4" x14ac:dyDescent="0.2">
      <c r="A839" s="8" t="s">
        <v>2963</v>
      </c>
      <c r="B839" s="8" t="s">
        <v>2964</v>
      </c>
      <c r="C839" s="8">
        <v>1.2416374926915601</v>
      </c>
      <c r="D839" s="8">
        <v>5.7599011198487503E-3</v>
      </c>
    </row>
    <row r="840" spans="1:4" x14ac:dyDescent="0.2">
      <c r="A840" s="8" t="s">
        <v>2965</v>
      </c>
      <c r="B840" s="8" t="s">
        <v>2966</v>
      </c>
      <c r="C840" s="8">
        <v>-1.18371442067343</v>
      </c>
      <c r="D840" s="8">
        <v>1.23790575815757E-3</v>
      </c>
    </row>
    <row r="841" spans="1:4" x14ac:dyDescent="0.2">
      <c r="A841" s="8" t="s">
        <v>2967</v>
      </c>
      <c r="B841" s="8" t="s">
        <v>2968</v>
      </c>
      <c r="C841" s="8">
        <v>-2.6495803696629801</v>
      </c>
      <c r="D841" s="8">
        <v>1.11468822789788E-2</v>
      </c>
    </row>
    <row r="842" spans="1:4" x14ac:dyDescent="0.2">
      <c r="A842" s="8" t="s">
        <v>2969</v>
      </c>
      <c r="B842" s="8" t="s">
        <v>2970</v>
      </c>
      <c r="C842" s="8">
        <v>1.45509917646539</v>
      </c>
      <c r="D842" s="8">
        <v>4.0373324035510602E-4</v>
      </c>
    </row>
    <row r="843" spans="1:4" x14ac:dyDescent="0.2">
      <c r="A843" s="8" t="s">
        <v>2971</v>
      </c>
      <c r="B843" s="8" t="s">
        <v>2972</v>
      </c>
      <c r="C843" s="8">
        <v>1.14807692759752</v>
      </c>
      <c r="D843" s="8">
        <v>2.0631524569474898E-3</v>
      </c>
    </row>
    <row r="844" spans="1:4" x14ac:dyDescent="0.2">
      <c r="A844" s="8" t="s">
        <v>2973</v>
      </c>
      <c r="B844" s="8" t="s">
        <v>2974</v>
      </c>
      <c r="C844" s="8">
        <v>1.56428817947956</v>
      </c>
      <c r="D844" s="8">
        <v>2.8402079611312601E-2</v>
      </c>
    </row>
    <row r="845" spans="1:4" x14ac:dyDescent="0.2">
      <c r="A845" s="8" t="s">
        <v>2975</v>
      </c>
      <c r="B845" s="8" t="s">
        <v>2976</v>
      </c>
      <c r="C845" s="8">
        <v>-2.6437015458087898</v>
      </c>
      <c r="D845" s="8">
        <v>1.2439443504036699E-2</v>
      </c>
    </row>
    <row r="846" spans="1:4" x14ac:dyDescent="0.2">
      <c r="A846" s="8" t="s">
        <v>2977</v>
      </c>
      <c r="B846" s="8" t="s">
        <v>2978</v>
      </c>
      <c r="C846" s="8">
        <v>1.0081844794211201</v>
      </c>
      <c r="D846" s="8">
        <v>2.00389372659158E-2</v>
      </c>
    </row>
    <row r="847" spans="1:4" x14ac:dyDescent="0.2">
      <c r="A847" s="8" t="s">
        <v>2979</v>
      </c>
      <c r="B847" s="8" t="s">
        <v>2980</v>
      </c>
      <c r="C847" s="8">
        <v>-1.1131556878262501</v>
      </c>
      <c r="D847" s="8">
        <v>4.96358829527117E-2</v>
      </c>
    </row>
    <row r="848" spans="1:4" x14ac:dyDescent="0.2">
      <c r="A848" s="8" t="s">
        <v>2981</v>
      </c>
      <c r="B848" s="8" t="s">
        <v>2982</v>
      </c>
      <c r="C848" s="8">
        <v>-1.10621514941071</v>
      </c>
      <c r="D848" s="8">
        <v>2.3823180292958698E-2</v>
      </c>
    </row>
    <row r="849" spans="1:4" x14ac:dyDescent="0.2">
      <c r="A849" s="8" t="s">
        <v>2983</v>
      </c>
      <c r="B849" s="8" t="s">
        <v>2984</v>
      </c>
      <c r="C849" s="8">
        <v>-1.7197725198042</v>
      </c>
      <c r="D849" s="8">
        <v>4.68468405947539E-2</v>
      </c>
    </row>
    <row r="850" spans="1:4" x14ac:dyDescent="0.2">
      <c r="A850" s="8" t="s">
        <v>2985</v>
      </c>
      <c r="B850" s="8" t="s">
        <v>2986</v>
      </c>
      <c r="C850" s="8">
        <v>-1.6836518846573001</v>
      </c>
      <c r="D850" s="8">
        <v>7.47733648242068E-3</v>
      </c>
    </row>
    <row r="851" spans="1:4" x14ac:dyDescent="0.2">
      <c r="A851" s="8" t="s">
        <v>2987</v>
      </c>
      <c r="B851" s="8" t="s">
        <v>2988</v>
      </c>
      <c r="C851" s="8">
        <v>-2.0953541567743899</v>
      </c>
      <c r="D851" s="8">
        <v>1.1013676849336299E-2</v>
      </c>
    </row>
    <row r="852" spans="1:4" x14ac:dyDescent="0.2">
      <c r="A852" s="8" t="s">
        <v>2989</v>
      </c>
      <c r="B852" s="8" t="s">
        <v>2990</v>
      </c>
      <c r="C852" s="8">
        <v>-2.6361377745275099</v>
      </c>
      <c r="D852" s="8">
        <v>2.0525611217417299E-2</v>
      </c>
    </row>
    <row r="853" spans="1:4" x14ac:dyDescent="0.2">
      <c r="A853" s="8" t="s">
        <v>2991</v>
      </c>
      <c r="B853" s="8" t="s">
        <v>2992</v>
      </c>
      <c r="C853" s="8">
        <v>-1.4924576225115</v>
      </c>
      <c r="D853" s="8">
        <v>4.0807076841265201E-2</v>
      </c>
    </row>
    <row r="854" spans="1:4" x14ac:dyDescent="0.2">
      <c r="A854" s="8" t="s">
        <v>2993</v>
      </c>
      <c r="B854" s="8" t="s">
        <v>2994</v>
      </c>
      <c r="C854" s="8">
        <v>-1.3958434421463499</v>
      </c>
      <c r="D854" s="8">
        <v>2.19019623064616E-2</v>
      </c>
    </row>
    <row r="855" spans="1:4" x14ac:dyDescent="0.2">
      <c r="A855" s="8" t="s">
        <v>2995</v>
      </c>
      <c r="B855" s="8" t="s">
        <v>2996</v>
      </c>
      <c r="C855" s="8">
        <v>-2.2823489376494899</v>
      </c>
      <c r="D855" s="8">
        <v>1.90892699818359E-2</v>
      </c>
    </row>
    <row r="856" spans="1:4" x14ac:dyDescent="0.2">
      <c r="A856" s="8" t="s">
        <v>2997</v>
      </c>
      <c r="B856" s="8" t="s">
        <v>2998</v>
      </c>
      <c r="C856" s="8">
        <v>-1.56186668910969</v>
      </c>
      <c r="D856" s="8">
        <v>1.54695616591955E-3</v>
      </c>
    </row>
    <row r="857" spans="1:4" x14ac:dyDescent="0.2">
      <c r="A857" s="8" t="s">
        <v>2999</v>
      </c>
      <c r="B857" s="8" t="s">
        <v>3000</v>
      </c>
      <c r="C857" s="8">
        <v>-1.3766037309960399</v>
      </c>
      <c r="D857" s="8">
        <v>1.34199843662115E-2</v>
      </c>
    </row>
    <row r="858" spans="1:4" x14ac:dyDescent="0.2">
      <c r="A858" s="8" t="s">
        <v>3001</v>
      </c>
      <c r="B858" s="8" t="s">
        <v>3002</v>
      </c>
      <c r="C858" s="8">
        <v>-3.03039053233885</v>
      </c>
      <c r="D858" s="8">
        <v>2.31968686542239E-2</v>
      </c>
    </row>
    <row r="859" spans="1:4" x14ac:dyDescent="0.2">
      <c r="A859" s="8" t="s">
        <v>3003</v>
      </c>
      <c r="B859" s="8" t="s">
        <v>3004</v>
      </c>
      <c r="C859" s="8">
        <v>2.2350742263861498</v>
      </c>
      <c r="D859" s="8">
        <v>1.4207590384467601E-3</v>
      </c>
    </row>
    <row r="860" spans="1:4" x14ac:dyDescent="0.2">
      <c r="A860" s="8" t="s">
        <v>3005</v>
      </c>
      <c r="B860" s="8" t="s">
        <v>3006</v>
      </c>
      <c r="C860" s="8">
        <v>-2.0725849951776798</v>
      </c>
      <c r="D860" s="8">
        <v>2.2581843491267399E-2</v>
      </c>
    </row>
    <row r="861" spans="1:4" x14ac:dyDescent="0.2">
      <c r="A861" s="8" t="s">
        <v>3007</v>
      </c>
      <c r="B861" s="8" t="s">
        <v>3008</v>
      </c>
      <c r="C861" s="8">
        <v>-2.735707218106</v>
      </c>
      <c r="D861" s="8">
        <v>1.1970990507717001E-3</v>
      </c>
    </row>
    <row r="862" spans="1:4" x14ac:dyDescent="0.2">
      <c r="A862" s="8" t="s">
        <v>3009</v>
      </c>
      <c r="B862" s="8" t="s">
        <v>3010</v>
      </c>
      <c r="C862" s="8">
        <v>-2.1084857468395399</v>
      </c>
      <c r="D862" s="8">
        <v>3.8080382554065997E-2</v>
      </c>
    </row>
    <row r="863" spans="1:4" x14ac:dyDescent="0.2">
      <c r="A863" s="8" t="s">
        <v>3011</v>
      </c>
      <c r="B863" s="8" t="s">
        <v>3012</v>
      </c>
      <c r="C863" s="8">
        <v>2.63730277718573</v>
      </c>
      <c r="D863" s="8">
        <v>1.6674292304838901E-2</v>
      </c>
    </row>
    <row r="864" spans="1:4" x14ac:dyDescent="0.2">
      <c r="A864" s="8" t="s">
        <v>3013</v>
      </c>
      <c r="B864" s="8" t="s">
        <v>3014</v>
      </c>
      <c r="C864" s="8">
        <v>-1.00095659699041</v>
      </c>
      <c r="D864" s="8">
        <v>1.6148967057560901E-3</v>
      </c>
    </row>
    <row r="865" spans="1:4" x14ac:dyDescent="0.2">
      <c r="A865" s="8" t="s">
        <v>3015</v>
      </c>
      <c r="B865" s="8" t="s">
        <v>3016</v>
      </c>
      <c r="C865" s="8">
        <v>-2.4469657479202098</v>
      </c>
      <c r="D865" s="8">
        <v>4.4916545401870699E-3</v>
      </c>
    </row>
    <row r="866" spans="1:4" x14ac:dyDescent="0.2">
      <c r="A866" s="8" t="s">
        <v>3017</v>
      </c>
      <c r="B866" s="8" t="s">
        <v>3018</v>
      </c>
      <c r="C866" s="8">
        <v>-1.40386844324689</v>
      </c>
      <c r="D866" s="8">
        <v>4.0134153151896799E-2</v>
      </c>
    </row>
    <row r="867" spans="1:4" x14ac:dyDescent="0.2">
      <c r="A867" s="8" t="s">
        <v>3019</v>
      </c>
      <c r="B867" s="8" t="s">
        <v>3020</v>
      </c>
      <c r="C867" s="8">
        <v>-1.32958843483004</v>
      </c>
      <c r="D867" s="8">
        <v>4.69127694399607E-2</v>
      </c>
    </row>
    <row r="868" spans="1:4" x14ac:dyDescent="0.2">
      <c r="A868" s="8" t="s">
        <v>3021</v>
      </c>
      <c r="B868" s="8" t="s">
        <v>3022</v>
      </c>
      <c r="C868" s="8">
        <v>-1.93228892555114</v>
      </c>
      <c r="D868" s="8">
        <v>4.5761760385544303E-2</v>
      </c>
    </row>
    <row r="869" spans="1:4" x14ac:dyDescent="0.2">
      <c r="A869" s="8" t="s">
        <v>3023</v>
      </c>
      <c r="B869" s="8" t="s">
        <v>3024</v>
      </c>
      <c r="C869" s="8">
        <v>1.7057530798940801</v>
      </c>
      <c r="D869" s="8">
        <v>2.1056109156013299E-2</v>
      </c>
    </row>
    <row r="870" spans="1:4" x14ac:dyDescent="0.2">
      <c r="A870" s="8" t="s">
        <v>3025</v>
      </c>
      <c r="B870" s="8" t="s">
        <v>3026</v>
      </c>
      <c r="C870" s="8">
        <v>2.3741453150645202</v>
      </c>
      <c r="D870" s="8">
        <v>9.3127020967322394E-3</v>
      </c>
    </row>
    <row r="871" spans="1:4" x14ac:dyDescent="0.2">
      <c r="A871" s="8" t="s">
        <v>3027</v>
      </c>
      <c r="B871" s="8" t="s">
        <v>3028</v>
      </c>
      <c r="C871" s="8">
        <v>-1.1934141220196299</v>
      </c>
      <c r="D871" s="8">
        <v>1.01347040787159E-2</v>
      </c>
    </row>
    <row r="872" spans="1:4" x14ac:dyDescent="0.2">
      <c r="A872" s="8" t="s">
        <v>3029</v>
      </c>
      <c r="B872" s="8" t="s">
        <v>3030</v>
      </c>
      <c r="C872" s="8">
        <v>-1.4540780291270701</v>
      </c>
      <c r="D872" s="8">
        <v>2.2072408812157E-2</v>
      </c>
    </row>
    <row r="873" spans="1:4" x14ac:dyDescent="0.2">
      <c r="A873" s="8" t="s">
        <v>3031</v>
      </c>
      <c r="B873" s="8" t="s">
        <v>3032</v>
      </c>
      <c r="C873" s="8">
        <v>1.5482541920050099</v>
      </c>
      <c r="D873" s="8">
        <v>5.3518019219290702E-3</v>
      </c>
    </row>
    <row r="874" spans="1:4" x14ac:dyDescent="0.2">
      <c r="A874" s="8" t="s">
        <v>3033</v>
      </c>
      <c r="B874" s="8" t="s">
        <v>3034</v>
      </c>
      <c r="C874" s="8">
        <v>1.28329357906108</v>
      </c>
      <c r="D874" s="8">
        <v>3.7180839883237199E-2</v>
      </c>
    </row>
    <row r="875" spans="1:4" x14ac:dyDescent="0.2">
      <c r="A875" s="8" t="s">
        <v>3035</v>
      </c>
      <c r="B875" s="8" t="s">
        <v>3036</v>
      </c>
      <c r="C875" s="8">
        <v>1.87819224899918</v>
      </c>
      <c r="D875" s="8">
        <v>3.5321435859329399E-3</v>
      </c>
    </row>
    <row r="876" spans="1:4" x14ac:dyDescent="0.2">
      <c r="A876" s="8" t="s">
        <v>3037</v>
      </c>
      <c r="B876" s="8" t="s">
        <v>3038</v>
      </c>
      <c r="C876" s="8">
        <v>1.0313077977954499</v>
      </c>
      <c r="D876" s="8">
        <v>9.0640601719183308E-3</v>
      </c>
    </row>
    <row r="877" spans="1:4" x14ac:dyDescent="0.2">
      <c r="A877" s="8" t="s">
        <v>3039</v>
      </c>
      <c r="B877" s="8" t="s">
        <v>3040</v>
      </c>
      <c r="C877" s="8">
        <v>1.12204452385622</v>
      </c>
      <c r="D877" s="8">
        <v>2.9142485000787201E-3</v>
      </c>
    </row>
    <row r="878" spans="1:4" x14ac:dyDescent="0.2">
      <c r="A878" s="8" t="s">
        <v>3041</v>
      </c>
      <c r="B878" s="8" t="s">
        <v>3042</v>
      </c>
      <c r="C878" s="8">
        <v>3.8949599936585599</v>
      </c>
      <c r="D878" s="8">
        <v>1.63465317930231E-3</v>
      </c>
    </row>
    <row r="879" spans="1:4" x14ac:dyDescent="0.2">
      <c r="A879" s="8" t="s">
        <v>3043</v>
      </c>
      <c r="B879" s="8" t="s">
        <v>3044</v>
      </c>
      <c r="C879" s="8">
        <v>-1.0204071251000999</v>
      </c>
      <c r="D879" s="8">
        <v>2.17964234630613E-2</v>
      </c>
    </row>
    <row r="880" spans="1:4" x14ac:dyDescent="0.2">
      <c r="A880" s="8" t="s">
        <v>3045</v>
      </c>
      <c r="B880" s="8" t="s">
        <v>3046</v>
      </c>
      <c r="C880" s="8">
        <v>-1.51280988830587</v>
      </c>
      <c r="D880" s="8">
        <v>8.7510226381369294E-3</v>
      </c>
    </row>
    <row r="881" spans="1:4" x14ac:dyDescent="0.2">
      <c r="A881" s="8" t="s">
        <v>3047</v>
      </c>
      <c r="B881" s="8" t="s">
        <v>3048</v>
      </c>
      <c r="C881" s="8">
        <v>1.1089577952438301</v>
      </c>
      <c r="D881" s="8">
        <v>3.5534564451070302E-3</v>
      </c>
    </row>
    <row r="882" spans="1:4" x14ac:dyDescent="0.2">
      <c r="A882" s="8" t="s">
        <v>3049</v>
      </c>
      <c r="B882" s="8" t="s">
        <v>3050</v>
      </c>
      <c r="C882" s="8">
        <v>-1.1766963248850399</v>
      </c>
      <c r="D882" s="8">
        <v>2.5303786402226101E-2</v>
      </c>
    </row>
    <row r="883" spans="1:4" x14ac:dyDescent="0.2">
      <c r="A883" s="8" t="s">
        <v>3051</v>
      </c>
      <c r="B883" s="8" t="s">
        <v>3052</v>
      </c>
      <c r="C883" s="8">
        <v>1.01401287243739</v>
      </c>
      <c r="D883" s="8">
        <v>1.10639123175906E-2</v>
      </c>
    </row>
    <row r="884" spans="1:4" x14ac:dyDescent="0.2">
      <c r="A884" s="8" t="s">
        <v>3053</v>
      </c>
      <c r="B884" s="8" t="s">
        <v>3054</v>
      </c>
      <c r="C884" s="8">
        <v>-1.8532594998313601</v>
      </c>
      <c r="D884" s="8">
        <v>3.1965998949989101E-3</v>
      </c>
    </row>
    <row r="885" spans="1:4" x14ac:dyDescent="0.2">
      <c r="A885" s="8" t="s">
        <v>3055</v>
      </c>
      <c r="B885" s="8" t="s">
        <v>3056</v>
      </c>
      <c r="C885" s="8">
        <v>-1.0225099230883801</v>
      </c>
      <c r="D885" s="8">
        <v>3.2538473043305503E-2</v>
      </c>
    </row>
    <row r="886" spans="1:4" x14ac:dyDescent="0.2">
      <c r="A886" s="8" t="s">
        <v>3057</v>
      </c>
      <c r="B886" s="8" t="s">
        <v>3058</v>
      </c>
      <c r="C886" s="8">
        <v>-1.7142742822056301</v>
      </c>
      <c r="D886" s="8">
        <v>1.9720452651107899E-4</v>
      </c>
    </row>
    <row r="887" spans="1:4" x14ac:dyDescent="0.2">
      <c r="A887" s="8" t="s">
        <v>3059</v>
      </c>
      <c r="B887" s="8" t="s">
        <v>3060</v>
      </c>
      <c r="C887" s="8">
        <v>1.4466634095788999</v>
      </c>
      <c r="D887" s="8">
        <v>1.02022016575809E-2</v>
      </c>
    </row>
    <row r="888" spans="1:4" x14ac:dyDescent="0.2">
      <c r="A888" s="8" t="s">
        <v>3061</v>
      </c>
      <c r="B888" s="8" t="s">
        <v>3062</v>
      </c>
      <c r="C888" s="8">
        <v>-2.5201072817013901</v>
      </c>
      <c r="D888" s="8">
        <v>8.5995226193548305E-4</v>
      </c>
    </row>
    <row r="889" spans="1:4" x14ac:dyDescent="0.2">
      <c r="A889" s="8" t="s">
        <v>3063</v>
      </c>
      <c r="B889" s="8" t="s">
        <v>3064</v>
      </c>
      <c r="C889" s="8">
        <v>-1.42650595786929</v>
      </c>
      <c r="D889" s="8">
        <v>9.98036129439595E-4</v>
      </c>
    </row>
    <row r="890" spans="1:4" x14ac:dyDescent="0.2">
      <c r="A890" s="8" t="s">
        <v>3065</v>
      </c>
      <c r="B890" s="8" t="s">
        <v>3066</v>
      </c>
      <c r="C890" s="8">
        <v>1.49741434704535</v>
      </c>
      <c r="D890" s="8">
        <v>3.2167231506700901E-2</v>
      </c>
    </row>
    <row r="891" spans="1:4" x14ac:dyDescent="0.2">
      <c r="A891" s="8" t="s">
        <v>3067</v>
      </c>
      <c r="B891" s="8" t="s">
        <v>3068</v>
      </c>
      <c r="C891" s="8">
        <v>-2.3454290324677198</v>
      </c>
      <c r="D891" s="8">
        <v>1.11125947339941E-2</v>
      </c>
    </row>
    <row r="892" spans="1:4" x14ac:dyDescent="0.2">
      <c r="A892" s="8" t="s">
        <v>3069</v>
      </c>
      <c r="B892" s="8" t="s">
        <v>3070</v>
      </c>
      <c r="C892" s="8">
        <v>-2.1448686486611002</v>
      </c>
      <c r="D892" s="8">
        <v>1.8146310156139302E-2</v>
      </c>
    </row>
    <row r="893" spans="1:4" x14ac:dyDescent="0.2">
      <c r="A893" s="8" t="s">
        <v>3071</v>
      </c>
      <c r="B893" s="8" t="s">
        <v>3072</v>
      </c>
      <c r="C893" s="8">
        <v>1.6843468567722</v>
      </c>
      <c r="D893" s="8">
        <v>3.0576940137225599E-2</v>
      </c>
    </row>
    <row r="894" spans="1:4" x14ac:dyDescent="0.2">
      <c r="A894" s="8" t="s">
        <v>3073</v>
      </c>
      <c r="B894" s="8" t="s">
        <v>3074</v>
      </c>
      <c r="C894" s="8">
        <v>2.3833049896110201</v>
      </c>
      <c r="D894" s="8">
        <v>1.2516433256540701E-2</v>
      </c>
    </row>
    <row r="895" spans="1:4" x14ac:dyDescent="0.2">
      <c r="A895" s="8" t="s">
        <v>3075</v>
      </c>
      <c r="B895" s="8" t="s">
        <v>3076</v>
      </c>
      <c r="C895" s="8">
        <v>-2.8216991006077699</v>
      </c>
      <c r="D895" s="8">
        <v>2.57729796260802E-2</v>
      </c>
    </row>
    <row r="896" spans="1:4" x14ac:dyDescent="0.2">
      <c r="A896" s="8" t="s">
        <v>3077</v>
      </c>
      <c r="B896" s="8" t="s">
        <v>3078</v>
      </c>
      <c r="C896" s="8">
        <v>-3.3119523892454099</v>
      </c>
      <c r="D896" s="8">
        <v>2.9886028031415001E-2</v>
      </c>
    </row>
    <row r="897" spans="1:4" x14ac:dyDescent="0.2">
      <c r="A897" s="8" t="s">
        <v>3079</v>
      </c>
      <c r="B897" s="8" t="s">
        <v>3080</v>
      </c>
      <c r="C897" s="8">
        <v>-2.4288674719960301</v>
      </c>
      <c r="D897" s="8">
        <v>2.21285981004728E-2</v>
      </c>
    </row>
    <row r="898" spans="1:4" x14ac:dyDescent="0.2">
      <c r="A898" s="8" t="s">
        <v>3081</v>
      </c>
      <c r="B898" s="8" t="s">
        <v>3082</v>
      </c>
      <c r="C898" s="8">
        <v>-3.2528464109530799</v>
      </c>
      <c r="D898" s="8">
        <v>1.7886525095053601E-2</v>
      </c>
    </row>
    <row r="899" spans="1:4" x14ac:dyDescent="0.2">
      <c r="A899" s="8" t="s">
        <v>3083</v>
      </c>
      <c r="B899" s="8" t="s">
        <v>3084</v>
      </c>
      <c r="C899" s="8">
        <v>-1.14696847927926</v>
      </c>
      <c r="D899" s="8">
        <v>3.4563323770718898E-2</v>
      </c>
    </row>
    <row r="900" spans="1:4" x14ac:dyDescent="0.2">
      <c r="A900" s="8" t="s">
        <v>3085</v>
      </c>
      <c r="B900" s="8" t="s">
        <v>3086</v>
      </c>
      <c r="C900" s="8">
        <v>-1.8399112040627199</v>
      </c>
      <c r="D900" s="8">
        <v>2.7044708316610599E-3</v>
      </c>
    </row>
    <row r="901" spans="1:4" x14ac:dyDescent="0.2">
      <c r="A901" s="8" t="s">
        <v>3087</v>
      </c>
      <c r="B901" s="8" t="s">
        <v>3088</v>
      </c>
      <c r="C901" s="8">
        <v>-1.2931551001600701</v>
      </c>
      <c r="D901" s="8">
        <v>1.46710014556839E-2</v>
      </c>
    </row>
    <row r="902" spans="1:4" x14ac:dyDescent="0.2">
      <c r="A902" s="8" t="s">
        <v>3089</v>
      </c>
      <c r="B902" s="8" t="s">
        <v>3090</v>
      </c>
      <c r="C902" s="8">
        <v>2.8360844422875999</v>
      </c>
      <c r="D902" s="8">
        <v>1.10108453960687E-2</v>
      </c>
    </row>
    <row r="903" spans="1:4" x14ac:dyDescent="0.2">
      <c r="A903" s="8" t="s">
        <v>3091</v>
      </c>
      <c r="B903" s="8" t="s">
        <v>3092</v>
      </c>
      <c r="C903" s="8">
        <v>-3.0370237406304499</v>
      </c>
      <c r="D903" s="8">
        <v>1.88591698838293E-2</v>
      </c>
    </row>
    <row r="904" spans="1:4" x14ac:dyDescent="0.2">
      <c r="A904" s="8" t="s">
        <v>3093</v>
      </c>
      <c r="B904" s="8" t="s">
        <v>3094</v>
      </c>
      <c r="C904" s="8">
        <v>-1.76483614203568</v>
      </c>
      <c r="D904" s="8">
        <v>1.4524842178839001E-2</v>
      </c>
    </row>
    <row r="905" spans="1:4" x14ac:dyDescent="0.2">
      <c r="A905" s="8" t="s">
        <v>3095</v>
      </c>
      <c r="B905" s="8" t="s">
        <v>3096</v>
      </c>
      <c r="C905" s="8">
        <v>-2.8207878036372902</v>
      </c>
      <c r="D905" s="8">
        <v>2.0104906745735299E-2</v>
      </c>
    </row>
    <row r="906" spans="1:4" x14ac:dyDescent="0.2">
      <c r="A906" s="8" t="s">
        <v>3097</v>
      </c>
      <c r="B906" s="8" t="s">
        <v>3098</v>
      </c>
      <c r="C906" s="8">
        <v>-1.0945709031502</v>
      </c>
      <c r="D906" s="8">
        <v>4.8464973036374599E-2</v>
      </c>
    </row>
    <row r="907" spans="1:4" x14ac:dyDescent="0.2">
      <c r="A907" s="8" t="s">
        <v>3099</v>
      </c>
      <c r="B907" s="8" t="s">
        <v>3100</v>
      </c>
      <c r="C907" s="8">
        <v>1.26920248411562</v>
      </c>
      <c r="D907" s="8">
        <v>1.6590448536810301E-3</v>
      </c>
    </row>
    <row r="908" spans="1:4" x14ac:dyDescent="0.2">
      <c r="A908" s="8" t="s">
        <v>3101</v>
      </c>
      <c r="B908" s="8" t="s">
        <v>3102</v>
      </c>
      <c r="C908" s="8">
        <v>-2.2300247658485501</v>
      </c>
      <c r="D908" s="8">
        <v>4.9789607427472002E-2</v>
      </c>
    </row>
    <row r="909" spans="1:4" x14ac:dyDescent="0.2">
      <c r="A909" s="8" t="s">
        <v>3103</v>
      </c>
      <c r="B909" s="8" t="s">
        <v>3104</v>
      </c>
      <c r="C909" s="8">
        <v>-2.5629323702640399</v>
      </c>
      <c r="D909" s="8">
        <v>3.5807942069316501E-4</v>
      </c>
    </row>
    <row r="910" spans="1:4" x14ac:dyDescent="0.2">
      <c r="A910" s="8" t="s">
        <v>3105</v>
      </c>
      <c r="B910" s="8" t="s">
        <v>3106</v>
      </c>
      <c r="C910" s="8">
        <v>-2.71248694159125</v>
      </c>
      <c r="D910" s="8">
        <v>1.10543097453524E-3</v>
      </c>
    </row>
    <row r="911" spans="1:4" x14ac:dyDescent="0.2">
      <c r="A911" s="8" t="s">
        <v>3107</v>
      </c>
      <c r="B911" s="8" t="s">
        <v>3108</v>
      </c>
      <c r="C911" s="8">
        <v>2.7091991725234501</v>
      </c>
      <c r="D911" s="8">
        <v>9.4528641776254801E-4</v>
      </c>
    </row>
    <row r="912" spans="1:4" x14ac:dyDescent="0.2">
      <c r="A912" s="8" t="s">
        <v>3109</v>
      </c>
      <c r="B912" s="8" t="s">
        <v>3110</v>
      </c>
      <c r="C912" s="8">
        <v>2.5011900215676599</v>
      </c>
      <c r="D912" s="8">
        <v>1.61836855041043E-2</v>
      </c>
    </row>
    <row r="913" spans="1:4" x14ac:dyDescent="0.2">
      <c r="A913" s="8" t="s">
        <v>3111</v>
      </c>
      <c r="B913" s="8" t="s">
        <v>3112</v>
      </c>
      <c r="C913" s="8">
        <v>1.10835684586887</v>
      </c>
      <c r="D913" s="8">
        <v>3.6548509693892797E-2</v>
      </c>
    </row>
    <row r="914" spans="1:4" x14ac:dyDescent="0.2">
      <c r="A914" s="8" t="s">
        <v>3113</v>
      </c>
      <c r="B914" s="8" t="s">
        <v>3114</v>
      </c>
      <c r="C914" s="8">
        <v>-2.6471025456531501</v>
      </c>
      <c r="D914" s="8">
        <v>2.80302992481881E-2</v>
      </c>
    </row>
    <row r="915" spans="1:4" x14ac:dyDescent="0.2">
      <c r="A915" s="8" t="s">
        <v>3115</v>
      </c>
      <c r="B915" s="8" t="s">
        <v>3116</v>
      </c>
      <c r="C915" s="8">
        <v>-3.3657180291332498</v>
      </c>
      <c r="D915" s="8">
        <v>1.62127517295509E-2</v>
      </c>
    </row>
    <row r="916" spans="1:4" x14ac:dyDescent="0.2">
      <c r="A916" s="8" t="s">
        <v>3117</v>
      </c>
      <c r="B916" s="8" t="s">
        <v>3118</v>
      </c>
      <c r="C916" s="8">
        <v>1.9678607386668501</v>
      </c>
      <c r="D916" s="8">
        <v>1.70619551233094E-3</v>
      </c>
    </row>
    <row r="917" spans="1:4" x14ac:dyDescent="0.2">
      <c r="A917" s="8" t="s">
        <v>3119</v>
      </c>
      <c r="B917" s="8" t="s">
        <v>3120</v>
      </c>
      <c r="C917" s="8">
        <v>-2.6094564724979699</v>
      </c>
      <c r="D917" s="8">
        <v>1.4823264139538501E-3</v>
      </c>
    </row>
    <row r="918" spans="1:4" x14ac:dyDescent="0.2">
      <c r="A918" s="8" t="s">
        <v>3121</v>
      </c>
      <c r="B918" s="8" t="s">
        <v>3122</v>
      </c>
      <c r="C918" s="8">
        <v>-1.26838516150517</v>
      </c>
      <c r="D918" s="8">
        <v>1.46750972658542E-2</v>
      </c>
    </row>
    <row r="919" spans="1:4" x14ac:dyDescent="0.2">
      <c r="A919" s="8" t="s">
        <v>3123</v>
      </c>
      <c r="B919" s="8" t="s">
        <v>3124</v>
      </c>
      <c r="C919" s="8">
        <v>-1.3778095507799599</v>
      </c>
      <c r="D919" s="8">
        <v>4.7843368754154E-3</v>
      </c>
    </row>
    <row r="920" spans="1:4" x14ac:dyDescent="0.2">
      <c r="A920" s="8" t="s">
        <v>3125</v>
      </c>
      <c r="B920" s="8" t="s">
        <v>3126</v>
      </c>
      <c r="C920" s="8">
        <v>-5.2789760153516596</v>
      </c>
      <c r="D920" s="8">
        <v>5.2712335139265603E-3</v>
      </c>
    </row>
    <row r="921" spans="1:4" x14ac:dyDescent="0.2">
      <c r="A921" s="8" t="s">
        <v>3127</v>
      </c>
      <c r="B921" s="8" t="s">
        <v>3128</v>
      </c>
      <c r="C921" s="8">
        <v>-3.26594834323704</v>
      </c>
      <c r="D921" s="8">
        <v>1.00971330540429E-2</v>
      </c>
    </row>
    <row r="922" spans="1:4" x14ac:dyDescent="0.2">
      <c r="A922" s="8" t="s">
        <v>3129</v>
      </c>
      <c r="B922" s="8" t="s">
        <v>3130</v>
      </c>
      <c r="C922" s="8">
        <v>-1.3028355866014301</v>
      </c>
      <c r="D922" s="8">
        <v>2.7076502454741701E-2</v>
      </c>
    </row>
    <row r="923" spans="1:4" x14ac:dyDescent="0.2">
      <c r="A923" s="8" t="s">
        <v>3131</v>
      </c>
      <c r="B923" s="8" t="s">
        <v>3132</v>
      </c>
      <c r="C923" s="8">
        <v>-1.3753812729085899</v>
      </c>
      <c r="D923" s="8">
        <v>4.45967253022072E-2</v>
      </c>
    </row>
    <row r="924" spans="1:4" x14ac:dyDescent="0.2">
      <c r="A924" s="8" t="s">
        <v>3133</v>
      </c>
      <c r="B924" s="8" t="s">
        <v>3134</v>
      </c>
      <c r="C924" s="8">
        <v>-1.04873471216215</v>
      </c>
      <c r="D924" s="8">
        <v>2.78403242028143E-2</v>
      </c>
    </row>
    <row r="925" spans="1:4" x14ac:dyDescent="0.2">
      <c r="A925" s="8" t="s">
        <v>3135</v>
      </c>
      <c r="B925" s="8" t="s">
        <v>3136</v>
      </c>
      <c r="C925" s="8">
        <v>2.70065018617592</v>
      </c>
      <c r="D925" s="8">
        <v>1.12027244146936E-2</v>
      </c>
    </row>
    <row r="926" spans="1:4" x14ac:dyDescent="0.2">
      <c r="A926" s="8" t="s">
        <v>3137</v>
      </c>
      <c r="B926" s="8" t="s">
        <v>3138</v>
      </c>
      <c r="C926" s="8">
        <v>3.1202889864970902</v>
      </c>
      <c r="D926" s="8">
        <v>1.29059134064338E-2</v>
      </c>
    </row>
    <row r="927" spans="1:4" x14ac:dyDescent="0.2">
      <c r="A927" s="8" t="s">
        <v>3139</v>
      </c>
      <c r="B927" s="8" t="s">
        <v>3140</v>
      </c>
      <c r="C927" s="8">
        <v>-2.37259005115108</v>
      </c>
      <c r="D927" s="8">
        <v>2.6178249416779101E-2</v>
      </c>
    </row>
    <row r="928" spans="1:4" x14ac:dyDescent="0.2">
      <c r="A928" s="8" t="s">
        <v>3141</v>
      </c>
      <c r="B928" s="8" t="s">
        <v>3142</v>
      </c>
      <c r="C928" s="8">
        <v>-2.1687516053353799</v>
      </c>
      <c r="D928" s="8">
        <v>1.464872178608E-2</v>
      </c>
    </row>
    <row r="929" spans="1:4" x14ac:dyDescent="0.2">
      <c r="A929" s="8" t="s">
        <v>3143</v>
      </c>
      <c r="B929" s="8" t="s">
        <v>3144</v>
      </c>
      <c r="C929" s="8">
        <v>-2.3634798006811102</v>
      </c>
      <c r="D929" s="8">
        <v>3.77975073114079E-2</v>
      </c>
    </row>
    <row r="930" spans="1:4" x14ac:dyDescent="0.2">
      <c r="A930" s="8" t="s">
        <v>3145</v>
      </c>
      <c r="B930" s="8" t="s">
        <v>3146</v>
      </c>
      <c r="C930" s="8">
        <v>-1.2579448567792699</v>
      </c>
      <c r="D930" s="8">
        <v>2.9464151919177301E-2</v>
      </c>
    </row>
    <row r="931" spans="1:4" x14ac:dyDescent="0.2">
      <c r="A931" s="8" t="s">
        <v>3147</v>
      </c>
      <c r="B931" s="8" t="s">
        <v>3148</v>
      </c>
      <c r="C931" s="8">
        <v>1.17363801110605</v>
      </c>
      <c r="D931" s="8">
        <v>1.25572454802762E-3</v>
      </c>
    </row>
    <row r="932" spans="1:4" x14ac:dyDescent="0.2">
      <c r="A932" s="8" t="s">
        <v>3149</v>
      </c>
      <c r="B932" s="8" t="s">
        <v>3150</v>
      </c>
      <c r="C932" s="8">
        <v>1.11729312570142</v>
      </c>
      <c r="D932" s="8">
        <v>6.4806522579482096E-3</v>
      </c>
    </row>
    <row r="933" spans="1:4" x14ac:dyDescent="0.2">
      <c r="A933" s="8" t="s">
        <v>3151</v>
      </c>
      <c r="B933" s="8" t="s">
        <v>3152</v>
      </c>
      <c r="C933" s="8">
        <v>1.2603136775250201</v>
      </c>
      <c r="D933" s="8">
        <v>1.67551229117815E-3</v>
      </c>
    </row>
    <row r="934" spans="1:4" x14ac:dyDescent="0.2">
      <c r="A934" s="8" t="s">
        <v>3153</v>
      </c>
      <c r="B934" s="8" t="s">
        <v>3154</v>
      </c>
      <c r="C934" s="8">
        <v>-5.36608525996696</v>
      </c>
      <c r="D934" s="8">
        <v>4.5638418075685597E-3</v>
      </c>
    </row>
    <row r="935" spans="1:4" x14ac:dyDescent="0.2">
      <c r="A935" s="8" t="s">
        <v>3155</v>
      </c>
      <c r="B935" s="8" t="s">
        <v>3156</v>
      </c>
      <c r="C935" s="8">
        <v>1.4466506834761099</v>
      </c>
      <c r="D935" s="8">
        <v>2.1740564436140499E-2</v>
      </c>
    </row>
    <row r="936" spans="1:4" x14ac:dyDescent="0.2">
      <c r="A936" s="8" t="s">
        <v>3157</v>
      </c>
      <c r="B936" s="8" t="s">
        <v>3158</v>
      </c>
      <c r="C936" s="8">
        <v>-1.25787621183584</v>
      </c>
      <c r="D936" s="8">
        <v>4.7797015458430299E-2</v>
      </c>
    </row>
    <row r="937" spans="1:4" x14ac:dyDescent="0.2">
      <c r="A937" s="8" t="s">
        <v>3159</v>
      </c>
      <c r="B937" s="8" t="s">
        <v>3160</v>
      </c>
      <c r="C937" s="8">
        <v>-2.1399061013015599</v>
      </c>
      <c r="D937" s="8">
        <v>2.88217034321065E-2</v>
      </c>
    </row>
    <row r="938" spans="1:4" x14ac:dyDescent="0.2">
      <c r="A938" s="8" t="s">
        <v>3161</v>
      </c>
      <c r="B938" s="8" t="s">
        <v>3162</v>
      </c>
      <c r="C938" s="8">
        <v>-1.3140494304316499</v>
      </c>
      <c r="D938" s="8">
        <v>4.7662398139494896E-3</v>
      </c>
    </row>
    <row r="939" spans="1:4" x14ac:dyDescent="0.2">
      <c r="A939" s="8" t="s">
        <v>3163</v>
      </c>
      <c r="B939" s="8" t="s">
        <v>3164</v>
      </c>
      <c r="C939" s="8">
        <v>-1.2060382708880699</v>
      </c>
      <c r="D939" s="8">
        <v>3.8859190799191097E-2</v>
      </c>
    </row>
    <row r="940" spans="1:4" x14ac:dyDescent="0.2">
      <c r="A940" s="8" t="s">
        <v>3165</v>
      </c>
      <c r="B940" s="8" t="s">
        <v>3166</v>
      </c>
      <c r="C940" s="8">
        <v>-1.4288326327288401</v>
      </c>
      <c r="D940" s="8">
        <v>3.2656005109551002E-2</v>
      </c>
    </row>
    <row r="941" spans="1:4" x14ac:dyDescent="0.2">
      <c r="A941" s="8" t="s">
        <v>3167</v>
      </c>
      <c r="B941" s="8" t="s">
        <v>3168</v>
      </c>
      <c r="C941" s="8">
        <v>-1.4957119941133299</v>
      </c>
      <c r="D941" s="8">
        <v>2.9192675489314701E-2</v>
      </c>
    </row>
    <row r="942" spans="1:4" x14ac:dyDescent="0.2">
      <c r="A942" s="8" t="s">
        <v>3169</v>
      </c>
      <c r="B942" s="8" t="s">
        <v>3170</v>
      </c>
      <c r="C942" s="8">
        <v>1.9300583052843101</v>
      </c>
      <c r="D942" s="8">
        <v>2.1335178584693999E-3</v>
      </c>
    </row>
    <row r="943" spans="1:4" x14ac:dyDescent="0.2">
      <c r="A943" s="8" t="s">
        <v>3171</v>
      </c>
      <c r="B943" s="8" t="s">
        <v>3172</v>
      </c>
      <c r="C943" s="8">
        <v>2.0383568922307398</v>
      </c>
      <c r="D943" s="8">
        <v>1.1466193335435801E-3</v>
      </c>
    </row>
    <row r="944" spans="1:4" x14ac:dyDescent="0.2">
      <c r="A944" s="8" t="s">
        <v>3173</v>
      </c>
      <c r="B944" s="8" t="s">
        <v>3174</v>
      </c>
      <c r="C944" s="8">
        <v>-1.34717282074364</v>
      </c>
      <c r="D944" s="8">
        <v>1.6487189639794099E-3</v>
      </c>
    </row>
    <row r="945" spans="1:4" x14ac:dyDescent="0.2">
      <c r="A945" s="8" t="s">
        <v>3175</v>
      </c>
      <c r="B945" s="8" t="s">
        <v>3176</v>
      </c>
      <c r="C945" s="8">
        <v>1.3050225593991001</v>
      </c>
      <c r="D945" s="8">
        <v>5.1614481885021097E-3</v>
      </c>
    </row>
    <row r="946" spans="1:4" x14ac:dyDescent="0.2">
      <c r="A946" s="8" t="s">
        <v>3177</v>
      </c>
      <c r="B946" s="8" t="s">
        <v>3178</v>
      </c>
      <c r="C946" s="8">
        <v>-1.0311554315442399</v>
      </c>
      <c r="D946" s="8">
        <v>1.7095481752658799E-2</v>
      </c>
    </row>
    <row r="947" spans="1:4" x14ac:dyDescent="0.2">
      <c r="A947" s="8" t="s">
        <v>3179</v>
      </c>
      <c r="B947" s="8" t="s">
        <v>3180</v>
      </c>
      <c r="C947" s="8">
        <v>-3.4301548764494201</v>
      </c>
      <c r="D947" s="8">
        <v>9.1799216882217198E-3</v>
      </c>
    </row>
    <row r="948" spans="1:4" x14ac:dyDescent="0.2">
      <c r="A948" s="8" t="s">
        <v>3181</v>
      </c>
      <c r="B948" s="8" t="s">
        <v>3182</v>
      </c>
      <c r="C948" s="8">
        <v>-2.9643073892315202</v>
      </c>
      <c r="D948" s="8">
        <v>6.3144933017606096E-3</v>
      </c>
    </row>
    <row r="949" spans="1:4" x14ac:dyDescent="0.2">
      <c r="A949" s="8" t="s">
        <v>3183</v>
      </c>
      <c r="B949" s="8" t="s">
        <v>3184</v>
      </c>
      <c r="C949" s="8">
        <v>1.85832896251123</v>
      </c>
      <c r="D949" s="8">
        <v>2.6865882941196701E-2</v>
      </c>
    </row>
    <row r="950" spans="1:4" x14ac:dyDescent="0.2">
      <c r="A950" s="8" t="s">
        <v>3185</v>
      </c>
      <c r="B950" s="8" t="s">
        <v>3186</v>
      </c>
      <c r="C950" s="8">
        <v>-2.30289847750013</v>
      </c>
      <c r="D950" s="8">
        <v>8.4431082487896204E-3</v>
      </c>
    </row>
    <row r="951" spans="1:4" x14ac:dyDescent="0.2">
      <c r="A951" s="8" t="s">
        <v>3187</v>
      </c>
      <c r="B951" s="8" t="s">
        <v>3188</v>
      </c>
      <c r="C951" s="8">
        <v>-3.0376225868398898</v>
      </c>
      <c r="D951" s="8">
        <v>3.4193395364450603E-2</v>
      </c>
    </row>
    <row r="952" spans="1:4" x14ac:dyDescent="0.2">
      <c r="A952" s="8" t="s">
        <v>3189</v>
      </c>
      <c r="B952" s="8" t="s">
        <v>3190</v>
      </c>
      <c r="C952" s="8">
        <v>-1.2266289992310699</v>
      </c>
      <c r="D952" s="8">
        <v>1.63150834585951E-2</v>
      </c>
    </row>
    <row r="953" spans="1:4" x14ac:dyDescent="0.2">
      <c r="A953" s="8" t="s">
        <v>3191</v>
      </c>
      <c r="B953" s="8" t="s">
        <v>3192</v>
      </c>
      <c r="C953" s="8">
        <v>-1.37690838277181</v>
      </c>
      <c r="D953" s="8">
        <v>4.5732437332880203E-2</v>
      </c>
    </row>
    <row r="954" spans="1:4" x14ac:dyDescent="0.2">
      <c r="A954" s="8" t="s">
        <v>3193</v>
      </c>
      <c r="B954" s="8" t="s">
        <v>3194</v>
      </c>
      <c r="C954" s="8">
        <v>2.4602151383233801</v>
      </c>
      <c r="D954" s="8">
        <v>2.9289148251765802E-3</v>
      </c>
    </row>
    <row r="955" spans="1:4" x14ac:dyDescent="0.2">
      <c r="A955" s="8" t="s">
        <v>3195</v>
      </c>
      <c r="B955" s="8" t="s">
        <v>3196</v>
      </c>
      <c r="C955" s="8">
        <v>-2.4803380578880398</v>
      </c>
      <c r="D955" s="8">
        <v>4.1652745666781101E-2</v>
      </c>
    </row>
    <row r="956" spans="1:4" x14ac:dyDescent="0.2">
      <c r="A956" s="8" t="s">
        <v>3197</v>
      </c>
      <c r="B956" s="8" t="s">
        <v>3198</v>
      </c>
      <c r="C956" s="8">
        <v>-1.24534766479734</v>
      </c>
      <c r="D956" s="8">
        <v>1.44251026989366E-2</v>
      </c>
    </row>
    <row r="957" spans="1:4" x14ac:dyDescent="0.2">
      <c r="A957" s="8" t="s">
        <v>3199</v>
      </c>
      <c r="B957" s="8" t="s">
        <v>3200</v>
      </c>
      <c r="C957" s="8">
        <v>-1.7129933875938901</v>
      </c>
      <c r="D957" s="8">
        <v>1.13767161284185E-2</v>
      </c>
    </row>
    <row r="958" spans="1:4" x14ac:dyDescent="0.2">
      <c r="A958" s="8" t="s">
        <v>3201</v>
      </c>
      <c r="B958" s="8" t="s">
        <v>3202</v>
      </c>
      <c r="C958" s="8">
        <v>1.11475160444173</v>
      </c>
      <c r="D958" s="8">
        <v>2.2118312090094201E-2</v>
      </c>
    </row>
    <row r="959" spans="1:4" x14ac:dyDescent="0.2">
      <c r="A959" s="8" t="s">
        <v>3203</v>
      </c>
      <c r="B959" s="8" t="s">
        <v>3204</v>
      </c>
      <c r="C959" s="8">
        <v>-1.1009898134787299</v>
      </c>
      <c r="D959" s="8">
        <v>2.5042036667958598E-2</v>
      </c>
    </row>
    <row r="960" spans="1:4" x14ac:dyDescent="0.2">
      <c r="A960" s="8" t="s">
        <v>3205</v>
      </c>
      <c r="B960" s="8" t="s">
        <v>3206</v>
      </c>
      <c r="C960" s="8">
        <v>-1.4870109352965499</v>
      </c>
      <c r="D960" s="8">
        <v>3.5111435146346799E-2</v>
      </c>
    </row>
    <row r="961" spans="1:4" x14ac:dyDescent="0.2">
      <c r="A961" s="8" t="s">
        <v>3207</v>
      </c>
      <c r="B961" s="8" t="s">
        <v>3208</v>
      </c>
      <c r="C961" s="8">
        <v>1.01152359584881</v>
      </c>
      <c r="D961" s="8">
        <v>1.6567231753853899E-3</v>
      </c>
    </row>
    <row r="962" spans="1:4" x14ac:dyDescent="0.2">
      <c r="A962" s="8" t="s">
        <v>3209</v>
      </c>
      <c r="B962" s="8" t="s">
        <v>3210</v>
      </c>
      <c r="C962" s="8">
        <v>-1.5654608767409901</v>
      </c>
      <c r="D962" s="8">
        <v>1.0069016475815101E-3</v>
      </c>
    </row>
    <row r="963" spans="1:4" x14ac:dyDescent="0.2">
      <c r="A963" s="8" t="s">
        <v>3211</v>
      </c>
      <c r="B963" s="8" t="s">
        <v>3212</v>
      </c>
      <c r="C963" s="8">
        <v>1.86000080814131</v>
      </c>
      <c r="D963" s="8">
        <v>2.99428162531836E-2</v>
      </c>
    </row>
    <row r="964" spans="1:4" x14ac:dyDescent="0.2">
      <c r="A964" s="8" t="s">
        <v>3213</v>
      </c>
      <c r="B964" s="8" t="s">
        <v>3214</v>
      </c>
      <c r="C964" s="8">
        <v>-1.8314991398859299</v>
      </c>
      <c r="D964" s="8">
        <v>3.28867840554165E-2</v>
      </c>
    </row>
    <row r="965" spans="1:4" x14ac:dyDescent="0.2">
      <c r="A965" s="8" t="s">
        <v>3215</v>
      </c>
      <c r="B965" s="8" t="s">
        <v>3216</v>
      </c>
      <c r="C965" s="8">
        <v>3.49478731063732</v>
      </c>
      <c r="D965" s="8">
        <v>2.47674377152109E-4</v>
      </c>
    </row>
    <row r="966" spans="1:4" x14ac:dyDescent="0.2">
      <c r="A966" s="8" t="s">
        <v>3217</v>
      </c>
      <c r="B966" s="8" t="s">
        <v>3218</v>
      </c>
      <c r="C966" s="8">
        <v>1.25714633759808</v>
      </c>
      <c r="D966" s="8">
        <v>1.2772984961217501E-2</v>
      </c>
    </row>
    <row r="967" spans="1:4" x14ac:dyDescent="0.2">
      <c r="A967" s="8" t="s">
        <v>3219</v>
      </c>
      <c r="B967" s="8" t="s">
        <v>3220</v>
      </c>
      <c r="C967" s="8">
        <v>1.4784394985179701</v>
      </c>
      <c r="D967" s="8">
        <v>7.4487772182174703E-4</v>
      </c>
    </row>
    <row r="968" spans="1:4" x14ac:dyDescent="0.2">
      <c r="A968" s="8" t="s">
        <v>3221</v>
      </c>
      <c r="B968" s="8" t="s">
        <v>3222</v>
      </c>
      <c r="C968" s="8">
        <v>1.34727897530455</v>
      </c>
      <c r="D968" s="8">
        <v>5.1822161207559195E-4</v>
      </c>
    </row>
    <row r="969" spans="1:4" x14ac:dyDescent="0.2">
      <c r="A969" s="8" t="s">
        <v>3223</v>
      </c>
      <c r="B969" s="8" t="s">
        <v>3224</v>
      </c>
      <c r="C969" s="8">
        <v>1.7271739461408</v>
      </c>
      <c r="D969" s="8">
        <v>4.2041935478065997E-3</v>
      </c>
    </row>
    <row r="970" spans="1:4" x14ac:dyDescent="0.2">
      <c r="A970" s="8" t="s">
        <v>3225</v>
      </c>
      <c r="B970" s="8" t="s">
        <v>3226</v>
      </c>
      <c r="C970" s="8">
        <v>1.86631861156463</v>
      </c>
      <c r="D970" s="8">
        <v>1.85627531280376E-3</v>
      </c>
    </row>
    <row r="971" spans="1:4" x14ac:dyDescent="0.2">
      <c r="A971" s="8" t="s">
        <v>3227</v>
      </c>
      <c r="B971" s="8" t="s">
        <v>3228</v>
      </c>
      <c r="C971" s="8">
        <v>1.76034539318746</v>
      </c>
      <c r="D971" s="8">
        <v>3.0693010360362101E-2</v>
      </c>
    </row>
    <row r="972" spans="1:4" x14ac:dyDescent="0.2">
      <c r="A972" s="8" t="s">
        <v>3229</v>
      </c>
      <c r="B972" s="8" t="s">
        <v>3230</v>
      </c>
      <c r="C972" s="8">
        <v>-1.51707322494179</v>
      </c>
      <c r="D972" s="8">
        <v>4.7410700074691697E-2</v>
      </c>
    </row>
    <row r="973" spans="1:4" x14ac:dyDescent="0.2">
      <c r="A973" s="8" t="s">
        <v>3231</v>
      </c>
      <c r="B973" s="8" t="s">
        <v>3232</v>
      </c>
      <c r="C973" s="8">
        <v>-1.21484451092705</v>
      </c>
      <c r="D973" s="8">
        <v>1.17103413869149E-2</v>
      </c>
    </row>
    <row r="974" spans="1:4" x14ac:dyDescent="0.2">
      <c r="A974" s="8" t="s">
        <v>3233</v>
      </c>
      <c r="B974" s="8" t="s">
        <v>3234</v>
      </c>
      <c r="C974" s="8">
        <v>1.35902769028287</v>
      </c>
      <c r="D974" s="9">
        <v>4.5743864947404897E-5</v>
      </c>
    </row>
    <row r="975" spans="1:4" x14ac:dyDescent="0.2">
      <c r="A975" s="8" t="s">
        <v>3235</v>
      </c>
      <c r="B975" s="8" t="s">
        <v>3236</v>
      </c>
      <c r="C975" s="8">
        <v>1.6098805542811601</v>
      </c>
      <c r="D975" s="8">
        <v>4.5558738150858397E-2</v>
      </c>
    </row>
    <row r="976" spans="1:4" x14ac:dyDescent="0.2">
      <c r="A976" s="8" t="s">
        <v>3237</v>
      </c>
      <c r="B976" s="8" t="s">
        <v>3238</v>
      </c>
      <c r="C976" s="8">
        <v>-1.1664858718048099</v>
      </c>
      <c r="D976" s="8">
        <v>2.4732481375812802E-2</v>
      </c>
    </row>
    <row r="977" spans="1:4" x14ac:dyDescent="0.2">
      <c r="A977" s="8" t="s">
        <v>3239</v>
      </c>
      <c r="B977" s="8" t="s">
        <v>3240</v>
      </c>
      <c r="C977" s="8">
        <v>-1.3827403640984199</v>
      </c>
      <c r="D977" s="8">
        <v>2.8663291071740701E-2</v>
      </c>
    </row>
    <row r="978" spans="1:4" x14ac:dyDescent="0.2">
      <c r="A978" s="8" t="s">
        <v>3241</v>
      </c>
      <c r="B978" s="8" t="s">
        <v>3242</v>
      </c>
      <c r="C978" s="8">
        <v>1.5766667936540699</v>
      </c>
      <c r="D978" s="8">
        <v>1.5777065035968301E-2</v>
      </c>
    </row>
    <row r="979" spans="1:4" x14ac:dyDescent="0.2">
      <c r="A979" s="8" t="s">
        <v>3243</v>
      </c>
      <c r="B979" s="8" t="s">
        <v>3244</v>
      </c>
      <c r="C979" s="8">
        <v>1.9638895797448499</v>
      </c>
      <c r="D979" s="8">
        <v>3.9358850035018697E-2</v>
      </c>
    </row>
    <row r="980" spans="1:4" x14ac:dyDescent="0.2">
      <c r="A980" s="8" t="s">
        <v>3245</v>
      </c>
      <c r="B980" s="8" t="s">
        <v>3246</v>
      </c>
      <c r="C980" s="8">
        <v>-1.46670771306571</v>
      </c>
      <c r="D980" s="8">
        <v>1.5076887495803E-2</v>
      </c>
    </row>
    <row r="981" spans="1:4" x14ac:dyDescent="0.2">
      <c r="A981" s="8" t="s">
        <v>3247</v>
      </c>
      <c r="B981" s="8" t="s">
        <v>3248</v>
      </c>
      <c r="C981" s="8">
        <v>2.8183777922046498</v>
      </c>
      <c r="D981" s="8">
        <v>6.4475895701638503E-3</v>
      </c>
    </row>
    <row r="982" spans="1:4" x14ac:dyDescent="0.2">
      <c r="A982" s="8" t="s">
        <v>3249</v>
      </c>
      <c r="B982" s="8" t="s">
        <v>3250</v>
      </c>
      <c r="C982" s="8">
        <v>1.6054809774485901</v>
      </c>
      <c r="D982" s="9">
        <v>4.16831139634979E-5</v>
      </c>
    </row>
    <row r="983" spans="1:4" x14ac:dyDescent="0.2">
      <c r="A983" s="8" t="s">
        <v>3251</v>
      </c>
      <c r="B983" s="8" t="s">
        <v>3252</v>
      </c>
      <c r="C983" s="8">
        <v>-1.1822041382053601</v>
      </c>
      <c r="D983" s="8">
        <v>8.41434096366858E-3</v>
      </c>
    </row>
    <row r="984" spans="1:4" x14ac:dyDescent="0.2">
      <c r="A984" s="8" t="s">
        <v>3253</v>
      </c>
      <c r="B984" s="8" t="s">
        <v>3254</v>
      </c>
      <c r="C984" s="8">
        <v>-1.399036588288</v>
      </c>
      <c r="D984" s="8">
        <v>5.60072764986729E-3</v>
      </c>
    </row>
    <row r="985" spans="1:4" x14ac:dyDescent="0.2">
      <c r="A985" s="8" t="s">
        <v>3255</v>
      </c>
      <c r="B985" s="8" t="s">
        <v>3256</v>
      </c>
      <c r="C985" s="8">
        <v>-1.6940622973211701</v>
      </c>
      <c r="D985" s="8">
        <v>3.2606331266398902E-3</v>
      </c>
    </row>
    <row r="986" spans="1:4" x14ac:dyDescent="0.2">
      <c r="A986" s="8" t="s">
        <v>3257</v>
      </c>
      <c r="B986" s="8" t="s">
        <v>3258</v>
      </c>
      <c r="C986" s="8">
        <v>-1.4012594828518901</v>
      </c>
      <c r="D986" s="8">
        <v>2.18369235757092E-2</v>
      </c>
    </row>
    <row r="987" spans="1:4" x14ac:dyDescent="0.2">
      <c r="A987" s="8" t="s">
        <v>3259</v>
      </c>
      <c r="B987" s="8" t="s">
        <v>3260</v>
      </c>
      <c r="C987" s="8">
        <v>-2.3307888761488198</v>
      </c>
      <c r="D987" s="8">
        <v>8.2208909388435301E-4</v>
      </c>
    </row>
    <row r="988" spans="1:4" x14ac:dyDescent="0.2">
      <c r="A988" s="8" t="s">
        <v>3261</v>
      </c>
      <c r="B988" s="8" t="s">
        <v>3262</v>
      </c>
      <c r="C988" s="8">
        <v>-2.71711235481453</v>
      </c>
      <c r="D988" s="8">
        <v>8.4055765034772491E-3</v>
      </c>
    </row>
    <row r="989" spans="1:4" x14ac:dyDescent="0.2">
      <c r="A989" s="8" t="s">
        <v>3263</v>
      </c>
      <c r="B989" s="8" t="s">
        <v>3264</v>
      </c>
      <c r="C989" s="8">
        <v>-1.3756294883551199</v>
      </c>
      <c r="D989" s="8">
        <v>3.8285569083516199E-2</v>
      </c>
    </row>
    <row r="990" spans="1:4" x14ac:dyDescent="0.2">
      <c r="A990" s="8" t="s">
        <v>3265</v>
      </c>
      <c r="B990" s="8" t="s">
        <v>3266</v>
      </c>
      <c r="C990" s="8">
        <v>-1.08193262014046</v>
      </c>
      <c r="D990" s="8">
        <v>2.6583096000619501E-2</v>
      </c>
    </row>
    <row r="991" spans="1:4" x14ac:dyDescent="0.2">
      <c r="A991" s="8" t="s">
        <v>3267</v>
      </c>
      <c r="B991" s="8" t="s">
        <v>3268</v>
      </c>
      <c r="C991" s="8">
        <v>-2.0412869001392702</v>
      </c>
      <c r="D991" s="8">
        <v>4.1783581286256199E-2</v>
      </c>
    </row>
    <row r="992" spans="1:4" x14ac:dyDescent="0.2">
      <c r="A992" s="8" t="s">
        <v>3269</v>
      </c>
      <c r="B992" s="8" t="s">
        <v>3270</v>
      </c>
      <c r="C992" s="8">
        <v>-1.2216150049772101</v>
      </c>
      <c r="D992" s="8">
        <v>1.8100901636201899E-2</v>
      </c>
    </row>
    <row r="993" spans="1:4" x14ac:dyDescent="0.2">
      <c r="A993" s="8" t="s">
        <v>3271</v>
      </c>
      <c r="B993" s="8" t="s">
        <v>3272</v>
      </c>
      <c r="C993" s="8">
        <v>-1.1883560106628701</v>
      </c>
      <c r="D993" s="8">
        <v>5.98342546395447E-3</v>
      </c>
    </row>
    <row r="994" spans="1:4" x14ac:dyDescent="0.2">
      <c r="A994" s="8" t="s">
        <v>3273</v>
      </c>
      <c r="B994" s="8" t="s">
        <v>3274</v>
      </c>
      <c r="C994" s="8">
        <v>-3.22608627737513</v>
      </c>
      <c r="D994" s="8">
        <v>9.1563284448451208E-3</v>
      </c>
    </row>
    <row r="995" spans="1:4" x14ac:dyDescent="0.2">
      <c r="A995" s="8" t="s">
        <v>3275</v>
      </c>
      <c r="B995" s="8" t="s">
        <v>3276</v>
      </c>
      <c r="C995" s="8">
        <v>-1.8985923586481801</v>
      </c>
      <c r="D995" s="8">
        <v>5.4030944198243799E-3</v>
      </c>
    </row>
    <row r="996" spans="1:4" x14ac:dyDescent="0.2">
      <c r="A996" s="8" t="s">
        <v>3277</v>
      </c>
      <c r="B996" s="8" t="s">
        <v>3278</v>
      </c>
      <c r="C996" s="8">
        <v>2.2648640898783499</v>
      </c>
      <c r="D996" s="8">
        <v>5.5571081024685604E-3</v>
      </c>
    </row>
    <row r="997" spans="1:4" x14ac:dyDescent="0.2">
      <c r="A997" s="8" t="s">
        <v>3279</v>
      </c>
      <c r="B997" s="8" t="s">
        <v>3280</v>
      </c>
      <c r="C997" s="8">
        <v>-2.1430745064097301</v>
      </c>
      <c r="D997" s="8">
        <v>4.1782526140336E-2</v>
      </c>
    </row>
    <row r="998" spans="1:4" x14ac:dyDescent="0.2">
      <c r="A998" s="8" t="s">
        <v>3281</v>
      </c>
      <c r="B998" s="8" t="s">
        <v>3282</v>
      </c>
      <c r="C998" s="8">
        <v>-1.91466795714201</v>
      </c>
      <c r="D998" s="8">
        <v>4.4989152944160601E-3</v>
      </c>
    </row>
    <row r="999" spans="1:4" x14ac:dyDescent="0.2">
      <c r="A999" s="8" t="s">
        <v>3283</v>
      </c>
      <c r="B999" s="8" t="s">
        <v>3284</v>
      </c>
      <c r="C999" s="8">
        <v>1.0429184613749001</v>
      </c>
      <c r="D999" s="8">
        <v>1.06003377373638E-3</v>
      </c>
    </row>
    <row r="1000" spans="1:4" x14ac:dyDescent="0.2">
      <c r="A1000" s="8" t="s">
        <v>3285</v>
      </c>
      <c r="B1000" s="8" t="s">
        <v>3286</v>
      </c>
      <c r="C1000" s="8">
        <v>2.37395711945697</v>
      </c>
      <c r="D1000" s="8">
        <v>1.9500384388537802E-2</v>
      </c>
    </row>
    <row r="1001" spans="1:4" x14ac:dyDescent="0.2">
      <c r="A1001" s="8" t="s">
        <v>3287</v>
      </c>
      <c r="B1001" s="8" t="s">
        <v>3288</v>
      </c>
      <c r="C1001" s="8">
        <v>1.09742083582497</v>
      </c>
      <c r="D1001" s="8">
        <v>8.1818185358843495E-3</v>
      </c>
    </row>
    <row r="1002" spans="1:4" x14ac:dyDescent="0.2">
      <c r="A1002" s="8" t="s">
        <v>3289</v>
      </c>
      <c r="B1002" s="8" t="s">
        <v>3290</v>
      </c>
      <c r="C1002" s="8">
        <v>1.0484830772361899</v>
      </c>
      <c r="D1002" s="8">
        <v>5.8360515852955404E-3</v>
      </c>
    </row>
    <row r="1003" spans="1:4" x14ac:dyDescent="0.2">
      <c r="A1003" s="8" t="s">
        <v>3291</v>
      </c>
      <c r="B1003" s="8" t="s">
        <v>3292</v>
      </c>
      <c r="C1003" s="8">
        <v>1.12938076046078</v>
      </c>
      <c r="D1003" s="8">
        <v>3.6278801580553702E-2</v>
      </c>
    </row>
    <row r="1004" spans="1:4" x14ac:dyDescent="0.2">
      <c r="A1004" s="8" t="s">
        <v>3293</v>
      </c>
      <c r="B1004" s="8" t="s">
        <v>3294</v>
      </c>
      <c r="C1004" s="8">
        <v>-1.3689591612824901</v>
      </c>
      <c r="D1004" s="8">
        <v>2.0584014368750601E-2</v>
      </c>
    </row>
    <row r="1005" spans="1:4" x14ac:dyDescent="0.2">
      <c r="A1005" s="8" t="s">
        <v>3295</v>
      </c>
      <c r="B1005" s="8" t="s">
        <v>3296</v>
      </c>
      <c r="C1005" s="8">
        <v>-2.4548127615248099</v>
      </c>
      <c r="D1005" s="8">
        <v>2.63473527256886E-2</v>
      </c>
    </row>
    <row r="1006" spans="1:4" x14ac:dyDescent="0.2">
      <c r="A1006" s="8" t="s">
        <v>3297</v>
      </c>
      <c r="B1006" s="8" t="s">
        <v>3298</v>
      </c>
      <c r="C1006" s="8">
        <v>1.49046164794403</v>
      </c>
      <c r="D1006" s="8">
        <v>4.1228727584565E-2</v>
      </c>
    </row>
    <row r="1007" spans="1:4" x14ac:dyDescent="0.2">
      <c r="A1007" s="8" t="s">
        <v>3299</v>
      </c>
      <c r="B1007" s="8" t="s">
        <v>3300</v>
      </c>
      <c r="C1007" s="8">
        <v>-1.09041201047712</v>
      </c>
      <c r="D1007" s="8">
        <v>4.1723130813044003E-3</v>
      </c>
    </row>
    <row r="1008" spans="1:4" x14ac:dyDescent="0.2">
      <c r="A1008" s="8" t="s">
        <v>3301</v>
      </c>
      <c r="B1008" s="8" t="s">
        <v>3302</v>
      </c>
      <c r="C1008" s="8">
        <v>-1.1393483248896501</v>
      </c>
      <c r="D1008" s="8">
        <v>2.6620284156472902E-2</v>
      </c>
    </row>
    <row r="1009" spans="1:4" x14ac:dyDescent="0.2">
      <c r="A1009" s="8" t="s">
        <v>3303</v>
      </c>
      <c r="B1009" s="8" t="s">
        <v>3304</v>
      </c>
      <c r="C1009" s="8">
        <v>-1.56608332132531</v>
      </c>
      <c r="D1009" s="8">
        <v>2.0534609811742998E-3</v>
      </c>
    </row>
    <row r="1010" spans="1:4" x14ac:dyDescent="0.2">
      <c r="A1010" s="8" t="s">
        <v>3305</v>
      </c>
      <c r="B1010" s="8" t="s">
        <v>3306</v>
      </c>
      <c r="C1010" s="8">
        <v>1.5215125458788099</v>
      </c>
      <c r="D1010" s="8">
        <v>1.2457576870507699E-3</v>
      </c>
    </row>
    <row r="1011" spans="1:4" x14ac:dyDescent="0.2">
      <c r="A1011" s="8" t="s">
        <v>3307</v>
      </c>
      <c r="B1011" s="8" t="s">
        <v>3308</v>
      </c>
      <c r="C1011" s="8">
        <v>1.27236182485127</v>
      </c>
      <c r="D1011" s="8">
        <v>2.4194729910476699E-2</v>
      </c>
    </row>
    <row r="1012" spans="1:4" x14ac:dyDescent="0.2">
      <c r="A1012" s="8" t="s">
        <v>3309</v>
      </c>
      <c r="B1012" s="8" t="s">
        <v>3310</v>
      </c>
      <c r="C1012" s="8">
        <v>1.30968017141853</v>
      </c>
      <c r="D1012" s="8">
        <v>1.6604978751956E-2</v>
      </c>
    </row>
    <row r="1013" spans="1:4" x14ac:dyDescent="0.2">
      <c r="A1013" s="8" t="s">
        <v>3311</v>
      </c>
      <c r="B1013" s="8" t="s">
        <v>3312</v>
      </c>
      <c r="C1013" s="8">
        <v>-1.98974239132706</v>
      </c>
      <c r="D1013" s="8">
        <v>2.71303491013902E-2</v>
      </c>
    </row>
    <row r="1014" spans="1:4" x14ac:dyDescent="0.2">
      <c r="A1014" s="8" t="s">
        <v>3313</v>
      </c>
      <c r="B1014" s="8" t="s">
        <v>3314</v>
      </c>
      <c r="C1014" s="8">
        <v>-3.0298862849491801</v>
      </c>
      <c r="D1014" s="8">
        <v>2.0278895727936001E-2</v>
      </c>
    </row>
    <row r="1015" spans="1:4" x14ac:dyDescent="0.2">
      <c r="A1015" s="8" t="s">
        <v>3315</v>
      </c>
      <c r="B1015" s="8" t="s">
        <v>3316</v>
      </c>
      <c r="C1015" s="8">
        <v>1.25524865440767</v>
      </c>
      <c r="D1015" s="8">
        <v>1.34723041349438E-2</v>
      </c>
    </row>
    <row r="1016" spans="1:4" x14ac:dyDescent="0.2">
      <c r="A1016" s="8" t="s">
        <v>3317</v>
      </c>
      <c r="B1016" s="8" t="s">
        <v>3318</v>
      </c>
      <c r="C1016" s="8">
        <v>-2.0485658219384</v>
      </c>
      <c r="D1016" s="8">
        <v>5.3873306293840198E-3</v>
      </c>
    </row>
    <row r="1017" spans="1:4" x14ac:dyDescent="0.2">
      <c r="A1017" s="8" t="s">
        <v>3319</v>
      </c>
      <c r="B1017" s="8" t="s">
        <v>3320</v>
      </c>
      <c r="C1017" s="8">
        <v>-2.0829752564978499</v>
      </c>
      <c r="D1017" s="8">
        <v>4.1714017345910702E-2</v>
      </c>
    </row>
    <row r="1018" spans="1:4" x14ac:dyDescent="0.2">
      <c r="A1018" s="8" t="s">
        <v>3321</v>
      </c>
      <c r="B1018" s="8" t="s">
        <v>3322</v>
      </c>
      <c r="C1018" s="8">
        <v>-4.1167784238889498</v>
      </c>
      <c r="D1018" s="8">
        <v>4.5406914509642099E-3</v>
      </c>
    </row>
    <row r="1019" spans="1:4" x14ac:dyDescent="0.2">
      <c r="A1019" s="8" t="s">
        <v>3323</v>
      </c>
      <c r="B1019" s="8" t="s">
        <v>3324</v>
      </c>
      <c r="C1019" s="8">
        <v>-1.58588949483555</v>
      </c>
      <c r="D1019" s="8">
        <v>4.9739938372625303E-2</v>
      </c>
    </row>
    <row r="1020" spans="1:4" x14ac:dyDescent="0.2">
      <c r="A1020" s="8" t="s">
        <v>3325</v>
      </c>
      <c r="B1020" s="8" t="s">
        <v>3326</v>
      </c>
      <c r="C1020" s="8">
        <v>-1.43629776461014</v>
      </c>
      <c r="D1020" s="8">
        <v>3.8617197583930801E-3</v>
      </c>
    </row>
    <row r="1021" spans="1:4" x14ac:dyDescent="0.2">
      <c r="A1021" s="8" t="s">
        <v>3327</v>
      </c>
      <c r="B1021" s="8" t="s">
        <v>3328</v>
      </c>
      <c r="C1021" s="8">
        <v>-2.25882849353028</v>
      </c>
      <c r="D1021" s="8">
        <v>4.1351741801699302E-2</v>
      </c>
    </row>
    <row r="1022" spans="1:4" x14ac:dyDescent="0.2">
      <c r="A1022" s="8" t="s">
        <v>3329</v>
      </c>
      <c r="B1022" s="8" t="s">
        <v>3330</v>
      </c>
      <c r="C1022" s="8">
        <v>1.9486136673472001</v>
      </c>
      <c r="D1022" s="8">
        <v>1.93815587365282E-4</v>
      </c>
    </row>
    <row r="1023" spans="1:4" x14ac:dyDescent="0.2">
      <c r="A1023" s="8" t="s">
        <v>3331</v>
      </c>
      <c r="B1023" s="8" t="s">
        <v>3332</v>
      </c>
      <c r="C1023" s="8">
        <v>1.1983827772540501</v>
      </c>
      <c r="D1023" s="8">
        <v>2.38796617226281E-2</v>
      </c>
    </row>
    <row r="1024" spans="1:4" x14ac:dyDescent="0.2">
      <c r="A1024" s="8" t="s">
        <v>3333</v>
      </c>
      <c r="B1024" s="8" t="s">
        <v>3334</v>
      </c>
      <c r="C1024" s="8">
        <v>-2.1552249678856099</v>
      </c>
      <c r="D1024" s="8">
        <v>2.8290424245868601E-2</v>
      </c>
    </row>
    <row r="1025" spans="1:4" x14ac:dyDescent="0.2">
      <c r="A1025" s="8" t="s">
        <v>3335</v>
      </c>
      <c r="B1025" s="8" t="s">
        <v>3336</v>
      </c>
      <c r="C1025" s="8">
        <v>-1.3727022225344301</v>
      </c>
      <c r="D1025" s="8">
        <v>4.5742673484166002E-3</v>
      </c>
    </row>
    <row r="1026" spans="1:4" x14ac:dyDescent="0.2">
      <c r="A1026" s="8" t="s">
        <v>3337</v>
      </c>
      <c r="B1026" s="8" t="s">
        <v>3338</v>
      </c>
      <c r="C1026" s="8">
        <v>-2.4402811391025798</v>
      </c>
      <c r="D1026" s="8">
        <v>4.8847892907383998E-2</v>
      </c>
    </row>
    <row r="1027" spans="1:4" x14ac:dyDescent="0.2">
      <c r="A1027" s="8" t="s">
        <v>3339</v>
      </c>
      <c r="B1027" s="8" t="s">
        <v>3340</v>
      </c>
      <c r="C1027" s="8">
        <v>-1.4041377241883799</v>
      </c>
      <c r="D1027" s="8">
        <v>1.71642093585729E-2</v>
      </c>
    </row>
    <row r="1028" spans="1:4" x14ac:dyDescent="0.2">
      <c r="A1028" s="8" t="s">
        <v>3341</v>
      </c>
      <c r="B1028" s="8" t="s">
        <v>3342</v>
      </c>
      <c r="C1028" s="8">
        <v>-1.21348850434899</v>
      </c>
      <c r="D1028" s="8">
        <v>6.5019306518932004E-3</v>
      </c>
    </row>
    <row r="1029" spans="1:4" x14ac:dyDescent="0.2">
      <c r="A1029" s="8" t="s">
        <v>3343</v>
      </c>
      <c r="B1029" s="8" t="s">
        <v>3344</v>
      </c>
      <c r="C1029" s="8">
        <v>-1.03564481395123</v>
      </c>
      <c r="D1029" s="8">
        <v>4.66871076229445E-2</v>
      </c>
    </row>
    <row r="1030" spans="1:4" x14ac:dyDescent="0.2">
      <c r="A1030" s="8" t="s">
        <v>3345</v>
      </c>
      <c r="B1030" s="8" t="s">
        <v>3346</v>
      </c>
      <c r="C1030" s="8">
        <v>-1.65958078795384</v>
      </c>
      <c r="D1030" s="8">
        <v>1.4599232816536901E-3</v>
      </c>
    </row>
    <row r="1031" spans="1:4" x14ac:dyDescent="0.2">
      <c r="A1031" s="8" t="s">
        <v>3347</v>
      </c>
      <c r="B1031" s="8" t="s">
        <v>3348</v>
      </c>
      <c r="C1031" s="8">
        <v>-2.17825883177998</v>
      </c>
      <c r="D1031" s="8">
        <v>4.8967879416244503E-2</v>
      </c>
    </row>
    <row r="1032" spans="1:4" x14ac:dyDescent="0.2">
      <c r="A1032" s="8" t="s">
        <v>3349</v>
      </c>
      <c r="B1032" s="8" t="s">
        <v>3350</v>
      </c>
      <c r="C1032" s="8">
        <v>-1.2667887283586601</v>
      </c>
      <c r="D1032" s="8">
        <v>2.88297416813761E-2</v>
      </c>
    </row>
    <row r="1033" spans="1:4" x14ac:dyDescent="0.2">
      <c r="A1033" s="8" t="s">
        <v>3351</v>
      </c>
      <c r="B1033" s="8" t="s">
        <v>3352</v>
      </c>
      <c r="C1033" s="8">
        <v>1.88601638511148</v>
      </c>
      <c r="D1033" s="8">
        <v>1.8178348662169501E-3</v>
      </c>
    </row>
    <row r="1034" spans="1:4" x14ac:dyDescent="0.2">
      <c r="A1034" s="8" t="s">
        <v>3353</v>
      </c>
      <c r="B1034" s="8" t="s">
        <v>3354</v>
      </c>
      <c r="C1034" s="8">
        <v>-1.2641192757011399</v>
      </c>
      <c r="D1034" s="8">
        <v>2.3078097809843E-2</v>
      </c>
    </row>
    <row r="1035" spans="1:4" x14ac:dyDescent="0.2">
      <c r="A1035" s="8" t="s">
        <v>3355</v>
      </c>
      <c r="B1035" s="8" t="s">
        <v>3356</v>
      </c>
      <c r="C1035" s="8">
        <v>1.5991237199543</v>
      </c>
      <c r="D1035" s="8">
        <v>2.3422183817610999E-2</v>
      </c>
    </row>
    <row r="1036" spans="1:4" x14ac:dyDescent="0.2">
      <c r="A1036" s="8" t="s">
        <v>3357</v>
      </c>
      <c r="B1036" s="8" t="s">
        <v>3358</v>
      </c>
      <c r="C1036" s="8">
        <v>-2.2474446264156498</v>
      </c>
      <c r="D1036" s="8">
        <v>5.4397322539725601E-3</v>
      </c>
    </row>
    <row r="1037" spans="1:4" x14ac:dyDescent="0.2">
      <c r="A1037" s="8" t="s">
        <v>3359</v>
      </c>
      <c r="B1037" s="8" t="s">
        <v>3360</v>
      </c>
      <c r="C1037" s="8">
        <v>1.5331533386460099</v>
      </c>
      <c r="D1037" s="8">
        <v>9.2973801045796603E-4</v>
      </c>
    </row>
    <row r="1038" spans="1:4" x14ac:dyDescent="0.2">
      <c r="A1038" s="8" t="s">
        <v>3361</v>
      </c>
      <c r="B1038" s="8" t="s">
        <v>3362</v>
      </c>
      <c r="C1038" s="8">
        <v>1.1455677544727001</v>
      </c>
      <c r="D1038" s="8">
        <v>3.5004260733421098E-3</v>
      </c>
    </row>
    <row r="1039" spans="1:4" x14ac:dyDescent="0.2">
      <c r="A1039" s="8" t="s">
        <v>3363</v>
      </c>
      <c r="B1039" s="8" t="s">
        <v>3364</v>
      </c>
      <c r="C1039" s="8">
        <v>-1.3368708386646999</v>
      </c>
      <c r="D1039" s="8">
        <v>3.9427022146243601E-3</v>
      </c>
    </row>
    <row r="1040" spans="1:4" x14ac:dyDescent="0.2">
      <c r="A1040" s="8" t="s">
        <v>3365</v>
      </c>
      <c r="B1040" s="8" t="s">
        <v>3366</v>
      </c>
      <c r="C1040" s="8">
        <v>1.46565719102195</v>
      </c>
      <c r="D1040" s="8">
        <v>2.9962388164409499E-2</v>
      </c>
    </row>
    <row r="1041" spans="1:4" x14ac:dyDescent="0.2">
      <c r="A1041" s="8" t="s">
        <v>3367</v>
      </c>
      <c r="B1041" s="8" t="s">
        <v>3368</v>
      </c>
      <c r="C1041" s="8">
        <v>-1.1372544852922699</v>
      </c>
      <c r="D1041" s="8">
        <v>3.5011742588421202E-3</v>
      </c>
    </row>
    <row r="1042" spans="1:4" x14ac:dyDescent="0.2">
      <c r="A1042" s="8" t="s">
        <v>3369</v>
      </c>
      <c r="B1042" s="8" t="s">
        <v>3370</v>
      </c>
      <c r="C1042" s="8">
        <v>-1.0330960441655801</v>
      </c>
      <c r="D1042" s="8">
        <v>1.17486603084153E-2</v>
      </c>
    </row>
    <row r="1043" spans="1:4" x14ac:dyDescent="0.2">
      <c r="A1043" s="8" t="s">
        <v>3371</v>
      </c>
      <c r="B1043" s="8" t="s">
        <v>3372</v>
      </c>
      <c r="C1043" s="8">
        <v>1.3098270349508201</v>
      </c>
      <c r="D1043" s="8">
        <v>1.0767152487244301E-2</v>
      </c>
    </row>
    <row r="1044" spans="1:4" x14ac:dyDescent="0.2">
      <c r="A1044" s="8" t="s">
        <v>3373</v>
      </c>
      <c r="B1044" s="8" t="s">
        <v>3374</v>
      </c>
      <c r="C1044" s="8">
        <v>1.89508073253983</v>
      </c>
      <c r="D1044" s="8">
        <v>7.6651425891075499E-3</v>
      </c>
    </row>
    <row r="1045" spans="1:4" x14ac:dyDescent="0.2">
      <c r="A1045" s="8" t="s">
        <v>3375</v>
      </c>
      <c r="B1045" s="8" t="s">
        <v>3376</v>
      </c>
      <c r="C1045" s="8">
        <v>-1.79150079537693</v>
      </c>
      <c r="D1045" s="8">
        <v>4.7399283522768301E-3</v>
      </c>
    </row>
    <row r="1046" spans="1:4" x14ac:dyDescent="0.2">
      <c r="A1046" s="8" t="s">
        <v>3377</v>
      </c>
      <c r="B1046" s="8" t="s">
        <v>3378</v>
      </c>
      <c r="C1046" s="8">
        <v>-1.30797494881037</v>
      </c>
      <c r="D1046" s="8">
        <v>1.74642429550067E-2</v>
      </c>
    </row>
    <row r="1047" spans="1:4" x14ac:dyDescent="0.2">
      <c r="A1047" s="8" t="s">
        <v>3379</v>
      </c>
      <c r="B1047" s="8" t="s">
        <v>3380</v>
      </c>
      <c r="C1047" s="8">
        <v>-1.8942201809675601</v>
      </c>
      <c r="D1047" s="8">
        <v>1.4421910990932299E-2</v>
      </c>
    </row>
    <row r="1048" spans="1:4" x14ac:dyDescent="0.2">
      <c r="A1048" s="8" t="s">
        <v>3381</v>
      </c>
      <c r="B1048" s="8" t="s">
        <v>3382</v>
      </c>
      <c r="C1048" s="8">
        <v>-2.1647555972369301</v>
      </c>
      <c r="D1048" s="8">
        <v>2.8889982473848399E-3</v>
      </c>
    </row>
    <row r="1049" spans="1:4" x14ac:dyDescent="0.2">
      <c r="A1049" s="8" t="s">
        <v>3383</v>
      </c>
      <c r="B1049" s="8" t="s">
        <v>3384</v>
      </c>
      <c r="C1049" s="8">
        <v>-2.2285503266011899</v>
      </c>
      <c r="D1049" s="8">
        <v>2.5992620968287101E-2</v>
      </c>
    </row>
    <row r="1050" spans="1:4" x14ac:dyDescent="0.2">
      <c r="A1050" s="8" t="s">
        <v>3385</v>
      </c>
      <c r="B1050" s="8" t="s">
        <v>3386</v>
      </c>
      <c r="C1050" s="8">
        <v>-1.90875599992128</v>
      </c>
      <c r="D1050" s="8">
        <v>4.02196568317328E-2</v>
      </c>
    </row>
    <row r="1051" spans="1:4" x14ac:dyDescent="0.2">
      <c r="A1051" s="8" t="s">
        <v>3387</v>
      </c>
      <c r="B1051" s="8" t="s">
        <v>3388</v>
      </c>
      <c r="C1051" s="8">
        <v>1.8608497553627801</v>
      </c>
      <c r="D1051" s="8">
        <v>2.0222765722373499E-3</v>
      </c>
    </row>
    <row r="1052" spans="1:4" x14ac:dyDescent="0.2">
      <c r="A1052" s="8" t="s">
        <v>3389</v>
      </c>
      <c r="B1052" s="8" t="s">
        <v>3390</v>
      </c>
      <c r="C1052" s="8">
        <v>-1.1259032363927499</v>
      </c>
      <c r="D1052" s="8">
        <v>4.42785498914944E-2</v>
      </c>
    </row>
    <row r="1053" spans="1:4" x14ac:dyDescent="0.2">
      <c r="A1053" s="8" t="s">
        <v>3391</v>
      </c>
      <c r="B1053" s="8" t="s">
        <v>3392</v>
      </c>
      <c r="C1053" s="8">
        <v>-1.0699613769930401</v>
      </c>
      <c r="D1053" s="8">
        <v>2.2683818965796999E-2</v>
      </c>
    </row>
    <row r="1054" spans="1:4" x14ac:dyDescent="0.2">
      <c r="A1054" s="8" t="s">
        <v>3393</v>
      </c>
      <c r="B1054" s="8" t="s">
        <v>3394</v>
      </c>
      <c r="C1054" s="8">
        <v>1.5886473388654401</v>
      </c>
      <c r="D1054" s="8">
        <v>1.18098550692827E-2</v>
      </c>
    </row>
    <row r="1055" spans="1:4" x14ac:dyDescent="0.2">
      <c r="A1055" s="8" t="s">
        <v>3395</v>
      </c>
      <c r="B1055" s="8" t="s">
        <v>3396</v>
      </c>
      <c r="C1055" s="8">
        <v>-1.5652596565808199</v>
      </c>
      <c r="D1055" s="8">
        <v>7.0597187151274898E-3</v>
      </c>
    </row>
    <row r="1056" spans="1:4" x14ac:dyDescent="0.2">
      <c r="A1056" s="8" t="s">
        <v>3397</v>
      </c>
      <c r="B1056" s="8" t="s">
        <v>3398</v>
      </c>
      <c r="C1056" s="8">
        <v>-1.95532851935651</v>
      </c>
      <c r="D1056" s="8">
        <v>1.7260320999344301E-2</v>
      </c>
    </row>
    <row r="1057" spans="1:4" x14ac:dyDescent="0.2">
      <c r="A1057" s="8" t="s">
        <v>3399</v>
      </c>
      <c r="B1057" s="8" t="s">
        <v>3400</v>
      </c>
      <c r="C1057" s="8">
        <v>-1.69491369660725</v>
      </c>
      <c r="D1057" s="8">
        <v>4.8212878535960998E-2</v>
      </c>
    </row>
    <row r="1058" spans="1:4" x14ac:dyDescent="0.2">
      <c r="A1058" s="8" t="s">
        <v>3401</v>
      </c>
      <c r="B1058" s="8" t="s">
        <v>3402</v>
      </c>
      <c r="C1058" s="8">
        <v>-1.1123682152133101</v>
      </c>
      <c r="D1058" s="8">
        <v>2.7845667227616298E-2</v>
      </c>
    </row>
    <row r="1059" spans="1:4" x14ac:dyDescent="0.2">
      <c r="A1059" s="8" t="s">
        <v>3403</v>
      </c>
      <c r="B1059" s="8" t="s">
        <v>3404</v>
      </c>
      <c r="C1059" s="8">
        <v>-3.2750778509341498</v>
      </c>
      <c r="D1059" s="8">
        <v>8.1347035969267806E-3</v>
      </c>
    </row>
    <row r="1060" spans="1:4" x14ac:dyDescent="0.2">
      <c r="A1060" s="8" t="s">
        <v>3405</v>
      </c>
      <c r="B1060" s="8" t="s">
        <v>3406</v>
      </c>
      <c r="C1060" s="8">
        <v>-2.0535067941211498</v>
      </c>
      <c r="D1060" s="8">
        <v>9.7327550835526295E-4</v>
      </c>
    </row>
    <row r="1061" spans="1:4" x14ac:dyDescent="0.2">
      <c r="A1061" s="8" t="s">
        <v>3407</v>
      </c>
      <c r="B1061" s="8" t="s">
        <v>3408</v>
      </c>
      <c r="C1061" s="8">
        <v>-3.8381584186873998</v>
      </c>
      <c r="D1061" s="8">
        <v>4.9727142962076299E-4</v>
      </c>
    </row>
    <row r="1062" spans="1:4" x14ac:dyDescent="0.2">
      <c r="A1062" s="8" t="s">
        <v>3409</v>
      </c>
      <c r="B1062" s="8" t="s">
        <v>3410</v>
      </c>
      <c r="C1062" s="8">
        <v>-1.5853071913349199</v>
      </c>
      <c r="D1062" s="8">
        <v>1.5239364706437599E-2</v>
      </c>
    </row>
    <row r="1063" spans="1:4" x14ac:dyDescent="0.2">
      <c r="A1063" s="8" t="s">
        <v>3411</v>
      </c>
      <c r="B1063" s="8" t="s">
        <v>3412</v>
      </c>
      <c r="C1063" s="8">
        <v>1.2991798967455199</v>
      </c>
      <c r="D1063" s="8">
        <v>2.7504252429001699E-2</v>
      </c>
    </row>
    <row r="1064" spans="1:4" x14ac:dyDescent="0.2">
      <c r="A1064" s="8" t="s">
        <v>3413</v>
      </c>
      <c r="B1064" s="8" t="s">
        <v>3414</v>
      </c>
      <c r="C1064" s="8">
        <v>2.4430975112018798</v>
      </c>
      <c r="D1064" s="8">
        <v>1.8706906325153299E-2</v>
      </c>
    </row>
    <row r="1065" spans="1:4" x14ac:dyDescent="0.2">
      <c r="A1065" s="8" t="s">
        <v>3415</v>
      </c>
      <c r="B1065" s="8" t="s">
        <v>3416</v>
      </c>
      <c r="C1065" s="8">
        <v>1.11966044840102</v>
      </c>
      <c r="D1065" s="8">
        <v>5.3076091002007804E-3</v>
      </c>
    </row>
    <row r="1066" spans="1:4" x14ac:dyDescent="0.2">
      <c r="A1066" s="8" t="s">
        <v>3417</v>
      </c>
      <c r="B1066" s="8" t="s">
        <v>3418</v>
      </c>
      <c r="C1066" s="8">
        <v>-1.06710012108467</v>
      </c>
      <c r="D1066" s="8">
        <v>1.8232420425225101E-2</v>
      </c>
    </row>
    <row r="1067" spans="1:4" x14ac:dyDescent="0.2">
      <c r="A1067" s="8" t="s">
        <v>3419</v>
      </c>
      <c r="B1067" s="8" t="s">
        <v>3420</v>
      </c>
      <c r="C1067" s="8">
        <v>2.5118275975123101</v>
      </c>
      <c r="D1067" s="8">
        <v>5.0966826965691497E-4</v>
      </c>
    </row>
    <row r="1068" spans="1:4" x14ac:dyDescent="0.2">
      <c r="A1068" s="8" t="s">
        <v>3421</v>
      </c>
      <c r="B1068" s="8" t="s">
        <v>3422</v>
      </c>
      <c r="C1068" s="8">
        <v>-3.1593735021474698</v>
      </c>
      <c r="D1068" s="8">
        <v>1.37668286200292E-2</v>
      </c>
    </row>
    <row r="1069" spans="1:4" x14ac:dyDescent="0.2">
      <c r="A1069" s="8" t="s">
        <v>3423</v>
      </c>
      <c r="B1069" s="8" t="s">
        <v>3424</v>
      </c>
      <c r="C1069" s="8">
        <v>-2.0009166211515002</v>
      </c>
      <c r="D1069" s="8">
        <v>8.1957689562711204E-3</v>
      </c>
    </row>
    <row r="1070" spans="1:4" x14ac:dyDescent="0.2">
      <c r="A1070" s="8" t="s">
        <v>3425</v>
      </c>
      <c r="B1070" s="8" t="s">
        <v>3426</v>
      </c>
      <c r="C1070" s="8">
        <v>-1.12192422094555</v>
      </c>
      <c r="D1070" s="8">
        <v>2.32603995105891E-2</v>
      </c>
    </row>
    <row r="1071" spans="1:4" x14ac:dyDescent="0.2">
      <c r="A1071" s="8" t="s">
        <v>3427</v>
      </c>
      <c r="B1071" s="8" t="s">
        <v>3428</v>
      </c>
      <c r="C1071" s="8">
        <v>1.87486114285302</v>
      </c>
      <c r="D1071" s="8">
        <v>1.4945199098980301E-2</v>
      </c>
    </row>
    <row r="1072" spans="1:4" x14ac:dyDescent="0.2">
      <c r="A1072" s="8" t="s">
        <v>3429</v>
      </c>
      <c r="B1072" s="8" t="s">
        <v>3430</v>
      </c>
      <c r="C1072" s="8">
        <v>-1.9014729930515799</v>
      </c>
      <c r="D1072" s="8">
        <v>1.01611004306236E-2</v>
      </c>
    </row>
    <row r="1073" spans="1:4" x14ac:dyDescent="0.2">
      <c r="A1073" s="8" t="s">
        <v>3431</v>
      </c>
      <c r="B1073" s="8" t="s">
        <v>3432</v>
      </c>
      <c r="C1073" s="8">
        <v>1.65295070386249</v>
      </c>
      <c r="D1073" s="8">
        <v>6.3064135538773202E-3</v>
      </c>
    </row>
    <row r="1074" spans="1:4" x14ac:dyDescent="0.2">
      <c r="A1074" s="8" t="s">
        <v>3433</v>
      </c>
      <c r="B1074" s="8" t="s">
        <v>3434</v>
      </c>
      <c r="C1074" s="8">
        <v>-1.0051607586560301</v>
      </c>
      <c r="D1074" s="8">
        <v>4.1048185324428298E-2</v>
      </c>
    </row>
    <row r="1075" spans="1:4" x14ac:dyDescent="0.2">
      <c r="A1075" s="8" t="s">
        <v>3435</v>
      </c>
      <c r="B1075" s="8" t="s">
        <v>3436</v>
      </c>
      <c r="C1075" s="8">
        <v>-1.15960838389557</v>
      </c>
      <c r="D1075" s="8">
        <v>4.7499927341472299E-2</v>
      </c>
    </row>
    <row r="1076" spans="1:4" x14ac:dyDescent="0.2">
      <c r="A1076" s="8" t="s">
        <v>3437</v>
      </c>
      <c r="B1076" s="8" t="s">
        <v>3438</v>
      </c>
      <c r="C1076" s="8">
        <v>-1.6449714749714299</v>
      </c>
      <c r="D1076" s="8">
        <v>2.2924820735283898E-2</v>
      </c>
    </row>
    <row r="1077" spans="1:4" x14ac:dyDescent="0.2">
      <c r="A1077" s="8" t="s">
        <v>3439</v>
      </c>
      <c r="B1077" s="8" t="s">
        <v>3440</v>
      </c>
      <c r="C1077" s="8">
        <v>-2.2708337003411199</v>
      </c>
      <c r="D1077" s="8">
        <v>3.4135505193871103E-2</v>
      </c>
    </row>
    <row r="1078" spans="1:4" x14ac:dyDescent="0.2">
      <c r="A1078" s="8" t="s">
        <v>3441</v>
      </c>
      <c r="B1078" s="8" t="s">
        <v>3442</v>
      </c>
      <c r="C1078" s="8">
        <v>1.56704585388835</v>
      </c>
      <c r="D1078" s="8">
        <v>6.0257373617385503E-3</v>
      </c>
    </row>
    <row r="1079" spans="1:4" x14ac:dyDescent="0.2">
      <c r="A1079" s="8" t="s">
        <v>3443</v>
      </c>
      <c r="B1079" s="8" t="s">
        <v>3444</v>
      </c>
      <c r="C1079" s="8">
        <v>-3.2412918093733998</v>
      </c>
      <c r="D1079" s="8">
        <v>1.3545619031902699E-2</v>
      </c>
    </row>
    <row r="1080" spans="1:4" x14ac:dyDescent="0.2">
      <c r="A1080" s="8" t="s">
        <v>3445</v>
      </c>
      <c r="B1080" s="8" t="s">
        <v>3446</v>
      </c>
      <c r="C1080" s="8">
        <v>-2.0187285953951499</v>
      </c>
      <c r="D1080" s="8">
        <v>2.1806135478905801E-2</v>
      </c>
    </row>
    <row r="1081" spans="1:4" x14ac:dyDescent="0.2">
      <c r="A1081" s="8" t="s">
        <v>3447</v>
      </c>
      <c r="B1081" s="8" t="s">
        <v>3448</v>
      </c>
      <c r="C1081" s="8">
        <v>1.10514597467727</v>
      </c>
      <c r="D1081" s="8">
        <v>4.8652616570856198E-2</v>
      </c>
    </row>
    <row r="1082" spans="1:4" x14ac:dyDescent="0.2">
      <c r="A1082" s="8" t="s">
        <v>3449</v>
      </c>
      <c r="B1082" s="8" t="s">
        <v>3450</v>
      </c>
      <c r="C1082" s="8">
        <v>-1.47596611422339</v>
      </c>
      <c r="D1082" s="8">
        <v>1.3269072070512601E-2</v>
      </c>
    </row>
    <row r="1083" spans="1:4" x14ac:dyDescent="0.2">
      <c r="A1083" s="8" t="s">
        <v>3451</v>
      </c>
      <c r="B1083" s="8" t="s">
        <v>3452</v>
      </c>
      <c r="C1083" s="8">
        <v>-1.1013106797554499</v>
      </c>
      <c r="D1083" s="8">
        <v>1.27036139441748E-2</v>
      </c>
    </row>
    <row r="1084" spans="1:4" x14ac:dyDescent="0.2">
      <c r="A1084" s="8" t="s">
        <v>3453</v>
      </c>
      <c r="B1084" s="8" t="s">
        <v>3454</v>
      </c>
      <c r="C1084" s="8">
        <v>-1.0618063954613399</v>
      </c>
      <c r="D1084" s="8">
        <v>3.7540260706833098E-2</v>
      </c>
    </row>
    <row r="1085" spans="1:4" x14ac:dyDescent="0.2">
      <c r="A1085" s="8" t="s">
        <v>3455</v>
      </c>
      <c r="B1085" s="8" t="s">
        <v>3456</v>
      </c>
      <c r="C1085" s="8">
        <v>-1.3189103523136101</v>
      </c>
      <c r="D1085" s="8">
        <v>1.8000265578469801E-2</v>
      </c>
    </row>
    <row r="1086" spans="1:4" x14ac:dyDescent="0.2">
      <c r="A1086" s="8" t="s">
        <v>3457</v>
      </c>
      <c r="B1086" s="8" t="s">
        <v>3458</v>
      </c>
      <c r="C1086" s="8">
        <v>1.41990622643688</v>
      </c>
      <c r="D1086" s="8">
        <v>4.2656456032964397E-2</v>
      </c>
    </row>
    <row r="1087" spans="1:4" x14ac:dyDescent="0.2">
      <c r="A1087" s="8" t="s">
        <v>3459</v>
      </c>
      <c r="B1087" s="8" t="s">
        <v>3460</v>
      </c>
      <c r="C1087" s="8">
        <v>-1.60995154125538</v>
      </c>
      <c r="D1087" s="8">
        <v>2.4717341623583002E-2</v>
      </c>
    </row>
    <row r="1088" spans="1:4" x14ac:dyDescent="0.2">
      <c r="A1088" s="8" t="s">
        <v>3461</v>
      </c>
      <c r="B1088" s="8" t="s">
        <v>3462</v>
      </c>
      <c r="C1088" s="8">
        <v>-1.84164413305692</v>
      </c>
      <c r="D1088" s="8">
        <v>3.2923577233285699E-2</v>
      </c>
    </row>
    <row r="1089" spans="1:4" x14ac:dyDescent="0.2">
      <c r="A1089" s="8" t="s">
        <v>3463</v>
      </c>
      <c r="B1089" s="8" t="s">
        <v>3464</v>
      </c>
      <c r="C1089" s="8">
        <v>1.66657729618558</v>
      </c>
      <c r="D1089" s="8">
        <v>1.1488463404413901E-2</v>
      </c>
    </row>
    <row r="1090" spans="1:4" x14ac:dyDescent="0.2">
      <c r="A1090" s="8" t="s">
        <v>3465</v>
      </c>
      <c r="B1090" s="8" t="s">
        <v>3466</v>
      </c>
      <c r="C1090" s="8">
        <v>1.0744888504557899</v>
      </c>
      <c r="D1090" s="8">
        <v>9.45722356468944E-3</v>
      </c>
    </row>
    <row r="1091" spans="1:4" x14ac:dyDescent="0.2">
      <c r="A1091" s="8" t="s">
        <v>3467</v>
      </c>
      <c r="B1091" s="8" t="s">
        <v>3468</v>
      </c>
      <c r="C1091" s="8">
        <v>-2.5299712778830101</v>
      </c>
      <c r="D1091" s="8">
        <v>1.47412706015509E-2</v>
      </c>
    </row>
    <row r="1092" spans="1:4" x14ac:dyDescent="0.2">
      <c r="A1092" s="8" t="s">
        <v>3469</v>
      </c>
      <c r="B1092" s="8" t="s">
        <v>3470</v>
      </c>
      <c r="C1092" s="8">
        <v>-1.5408943351940401</v>
      </c>
      <c r="D1092" s="8">
        <v>1.68342313407761E-2</v>
      </c>
    </row>
    <row r="1093" spans="1:4" x14ac:dyDescent="0.2">
      <c r="A1093" s="8" t="s">
        <v>3471</v>
      </c>
      <c r="B1093" s="8" t="s">
        <v>3472</v>
      </c>
      <c r="C1093" s="8">
        <v>-1.2454238583430599</v>
      </c>
      <c r="D1093" s="8">
        <v>3.0065044774222199E-2</v>
      </c>
    </row>
    <row r="1094" spans="1:4" x14ac:dyDescent="0.2">
      <c r="A1094" s="8" t="s">
        <v>3473</v>
      </c>
      <c r="B1094" s="8" t="s">
        <v>3474</v>
      </c>
      <c r="C1094" s="8">
        <v>-2.1256348554065099</v>
      </c>
      <c r="D1094" s="8">
        <v>1.1937248369552999E-3</v>
      </c>
    </row>
    <row r="1095" spans="1:4" x14ac:dyDescent="0.2">
      <c r="A1095" s="8" t="s">
        <v>3475</v>
      </c>
      <c r="B1095" s="8" t="s">
        <v>3476</v>
      </c>
      <c r="C1095" s="8">
        <v>2.59885002848999</v>
      </c>
      <c r="D1095" s="8">
        <v>1.3368343304992201E-4</v>
      </c>
    </row>
    <row r="1096" spans="1:4" x14ac:dyDescent="0.2">
      <c r="A1096" s="8" t="s">
        <v>3477</v>
      </c>
      <c r="B1096" s="8" t="s">
        <v>3478</v>
      </c>
      <c r="C1096" s="8">
        <v>-1.5549470359931801</v>
      </c>
      <c r="D1096" s="8">
        <v>8.14109954757322E-3</v>
      </c>
    </row>
    <row r="1097" spans="1:4" x14ac:dyDescent="0.2">
      <c r="A1097" s="8" t="s">
        <v>3479</v>
      </c>
      <c r="B1097" s="8" t="s">
        <v>3480</v>
      </c>
      <c r="C1097" s="8">
        <v>-2.4733528064654</v>
      </c>
      <c r="D1097" s="8">
        <v>1.40371730188825E-2</v>
      </c>
    </row>
    <row r="1098" spans="1:4" x14ac:dyDescent="0.2">
      <c r="A1098" s="8" t="s">
        <v>3481</v>
      </c>
      <c r="B1098" s="8" t="s">
        <v>3482</v>
      </c>
      <c r="C1098" s="8">
        <v>1.00237129358587</v>
      </c>
      <c r="D1098" s="8">
        <v>1.8225876186142801E-2</v>
      </c>
    </row>
    <row r="1099" spans="1:4" x14ac:dyDescent="0.2">
      <c r="A1099" s="8" t="s">
        <v>3483</v>
      </c>
      <c r="B1099" s="8" t="s">
        <v>3484</v>
      </c>
      <c r="C1099" s="8">
        <v>-1.58830373561227</v>
      </c>
      <c r="D1099" s="8">
        <v>4.4341408280903299E-2</v>
      </c>
    </row>
    <row r="1100" spans="1:4" x14ac:dyDescent="0.2">
      <c r="A1100" s="8" t="s">
        <v>3485</v>
      </c>
      <c r="B1100" s="8" t="s">
        <v>3486</v>
      </c>
      <c r="C1100" s="8">
        <v>1.2316885628134</v>
      </c>
      <c r="D1100" s="8">
        <v>1.33981557357445E-2</v>
      </c>
    </row>
    <row r="1101" spans="1:4" x14ac:dyDescent="0.2">
      <c r="A1101" s="8" t="s">
        <v>3487</v>
      </c>
      <c r="B1101" s="8" t="s">
        <v>3488</v>
      </c>
      <c r="C1101" s="8">
        <v>1.0710039459763601</v>
      </c>
      <c r="D1101" s="8">
        <v>9.9578881569834608E-3</v>
      </c>
    </row>
    <row r="1102" spans="1:4" x14ac:dyDescent="0.2">
      <c r="A1102" s="8" t="s">
        <v>3489</v>
      </c>
      <c r="B1102" s="8" t="s">
        <v>3490</v>
      </c>
      <c r="C1102" s="8">
        <v>-2.9813387670342499</v>
      </c>
      <c r="D1102" s="8">
        <v>2.5365131890922002E-4</v>
      </c>
    </row>
    <row r="1103" spans="1:4" x14ac:dyDescent="0.2">
      <c r="A1103" s="8" t="s">
        <v>3491</v>
      </c>
      <c r="B1103" s="8" t="s">
        <v>3492</v>
      </c>
      <c r="C1103" s="8">
        <v>-3.3463064694424798</v>
      </c>
      <c r="D1103" s="8">
        <v>2.3271683344447E-2</v>
      </c>
    </row>
    <row r="1104" spans="1:4" x14ac:dyDescent="0.2">
      <c r="A1104" s="8" t="s">
        <v>3493</v>
      </c>
      <c r="B1104" s="8" t="s">
        <v>3494</v>
      </c>
      <c r="C1104" s="8">
        <v>1.4962409340407901</v>
      </c>
      <c r="D1104" s="8">
        <v>4.0926883338898198E-2</v>
      </c>
    </row>
    <row r="1105" spans="1:4" x14ac:dyDescent="0.2">
      <c r="A1105" s="8" t="s">
        <v>3495</v>
      </c>
      <c r="B1105" s="8" t="s">
        <v>3496</v>
      </c>
      <c r="C1105" s="8">
        <v>-1.3220026254472299</v>
      </c>
      <c r="D1105" s="8">
        <v>3.9403536699735502E-2</v>
      </c>
    </row>
    <row r="1106" spans="1:4" x14ac:dyDescent="0.2">
      <c r="A1106" s="8" t="s">
        <v>3497</v>
      </c>
      <c r="B1106" s="8" t="s">
        <v>3498</v>
      </c>
      <c r="C1106" s="8">
        <v>-3.1713946863969902</v>
      </c>
      <c r="D1106" s="8">
        <v>3.0314850563111902E-2</v>
      </c>
    </row>
    <row r="1107" spans="1:4" x14ac:dyDescent="0.2">
      <c r="A1107" s="8" t="s">
        <v>3499</v>
      </c>
      <c r="B1107" s="8" t="s">
        <v>3500</v>
      </c>
      <c r="C1107" s="8">
        <v>1.46224976630645</v>
      </c>
      <c r="D1107" s="8">
        <v>3.19450856026759E-2</v>
      </c>
    </row>
    <row r="1108" spans="1:4" x14ac:dyDescent="0.2">
      <c r="A1108" s="8" t="s">
        <v>3501</v>
      </c>
      <c r="B1108" s="8" t="s">
        <v>3502</v>
      </c>
      <c r="C1108" s="8">
        <v>-2.6111730061529901</v>
      </c>
      <c r="D1108" s="8">
        <v>6.0986705205708196E-3</v>
      </c>
    </row>
    <row r="1109" spans="1:4" x14ac:dyDescent="0.2">
      <c r="A1109" s="8" t="s">
        <v>3503</v>
      </c>
      <c r="B1109" s="8" t="s">
        <v>3504</v>
      </c>
      <c r="C1109" s="8">
        <v>-2.5143102300490199</v>
      </c>
      <c r="D1109" s="8">
        <v>2.9506174275818E-2</v>
      </c>
    </row>
    <row r="1110" spans="1:4" x14ac:dyDescent="0.2">
      <c r="A1110" s="8" t="s">
        <v>3505</v>
      </c>
      <c r="B1110" s="8" t="s">
        <v>3506</v>
      </c>
      <c r="C1110" s="8">
        <v>-1.7357878148062</v>
      </c>
      <c r="D1110" s="8">
        <v>2.50775424048525E-2</v>
      </c>
    </row>
    <row r="1111" spans="1:4" x14ac:dyDescent="0.2">
      <c r="A1111" s="8" t="s">
        <v>3507</v>
      </c>
      <c r="B1111" s="8" t="s">
        <v>3508</v>
      </c>
      <c r="C1111" s="8">
        <v>-1.39729517362012</v>
      </c>
      <c r="D1111" s="8">
        <v>2.1250869600944002E-2</v>
      </c>
    </row>
    <row r="1112" spans="1:4" x14ac:dyDescent="0.2">
      <c r="A1112" s="8" t="s">
        <v>3509</v>
      </c>
      <c r="B1112" s="8" t="s">
        <v>3510</v>
      </c>
      <c r="C1112" s="8">
        <v>-3.5420051975389799</v>
      </c>
      <c r="D1112" s="8">
        <v>2.1658237606683901E-3</v>
      </c>
    </row>
    <row r="1113" spans="1:4" x14ac:dyDescent="0.2">
      <c r="A1113" s="8" t="s">
        <v>3511</v>
      </c>
      <c r="B1113" s="8" t="s">
        <v>3512</v>
      </c>
      <c r="C1113" s="8">
        <v>1.6417181226384301</v>
      </c>
      <c r="D1113" s="8">
        <v>2.2993992016517098E-3</v>
      </c>
    </row>
    <row r="1114" spans="1:4" x14ac:dyDescent="0.2">
      <c r="A1114" s="8" t="s">
        <v>3513</v>
      </c>
      <c r="B1114" s="8" t="s">
        <v>3514</v>
      </c>
      <c r="C1114" s="8">
        <v>-2.2539032409480702</v>
      </c>
      <c r="D1114" s="8">
        <v>3.7618656898662499E-2</v>
      </c>
    </row>
    <row r="1115" spans="1:4" x14ac:dyDescent="0.2">
      <c r="A1115" s="8" t="s">
        <v>3515</v>
      </c>
      <c r="B1115" s="8" t="s">
        <v>3516</v>
      </c>
      <c r="C1115" s="8">
        <v>-1.9238485735064701</v>
      </c>
      <c r="D1115" s="8">
        <v>5.4338600474633199E-4</v>
      </c>
    </row>
    <row r="1116" spans="1:4" x14ac:dyDescent="0.2">
      <c r="A1116" s="8" t="s">
        <v>3517</v>
      </c>
      <c r="B1116" s="8" t="s">
        <v>3518</v>
      </c>
      <c r="C1116" s="8">
        <v>-2.80605913094591</v>
      </c>
      <c r="D1116" s="8">
        <v>3.1812173791598598E-2</v>
      </c>
    </row>
    <row r="1117" spans="1:4" x14ac:dyDescent="0.2">
      <c r="A1117" s="8" t="s">
        <v>3519</v>
      </c>
      <c r="B1117" s="8" t="s">
        <v>3520</v>
      </c>
      <c r="C1117" s="8">
        <v>2.0964145975458601</v>
      </c>
      <c r="D1117" s="8">
        <v>4.2779455635808199E-2</v>
      </c>
    </row>
    <row r="1118" spans="1:4" x14ac:dyDescent="0.2">
      <c r="A1118" s="8" t="s">
        <v>3521</v>
      </c>
      <c r="B1118" s="8" t="s">
        <v>3522</v>
      </c>
      <c r="C1118" s="8">
        <v>3.08623300044925</v>
      </c>
      <c r="D1118" s="8">
        <v>4.0022385323755301E-2</v>
      </c>
    </row>
    <row r="1119" spans="1:4" x14ac:dyDescent="0.2">
      <c r="A1119" s="8" t="s">
        <v>3523</v>
      </c>
      <c r="B1119" s="8" t="s">
        <v>3524</v>
      </c>
      <c r="C1119" s="8">
        <v>-2.0711367542264898</v>
      </c>
      <c r="D1119" s="8">
        <v>3.0598533209809601E-3</v>
      </c>
    </row>
    <row r="1120" spans="1:4" x14ac:dyDescent="0.2">
      <c r="A1120" s="8" t="s">
        <v>3525</v>
      </c>
      <c r="B1120" s="8" t="s">
        <v>3526</v>
      </c>
      <c r="C1120" s="8">
        <v>-2.5181709023295702</v>
      </c>
      <c r="D1120" s="8">
        <v>3.0290410821283E-2</v>
      </c>
    </row>
    <row r="1121" spans="1:4" x14ac:dyDescent="0.2">
      <c r="A1121" s="8" t="s">
        <v>3527</v>
      </c>
      <c r="B1121" s="8" t="s">
        <v>3528</v>
      </c>
      <c r="C1121" s="8">
        <v>-2.30123956887009</v>
      </c>
      <c r="D1121" s="8">
        <v>2.7054732733319601E-2</v>
      </c>
    </row>
    <row r="1122" spans="1:4" x14ac:dyDescent="0.2">
      <c r="A1122" s="8" t="s">
        <v>3529</v>
      </c>
      <c r="B1122" s="8" t="s">
        <v>3530</v>
      </c>
      <c r="C1122" s="8">
        <v>-1.15187806500967</v>
      </c>
      <c r="D1122" s="8">
        <v>3.7829228207660701E-2</v>
      </c>
    </row>
    <row r="1123" spans="1:4" x14ac:dyDescent="0.2">
      <c r="A1123" s="8" t="s">
        <v>3531</v>
      </c>
      <c r="B1123" s="8" t="s">
        <v>3532</v>
      </c>
      <c r="C1123" s="8">
        <v>-1.2729493797307601</v>
      </c>
      <c r="D1123" s="8">
        <v>1.71214344448492E-2</v>
      </c>
    </row>
    <row r="1124" spans="1:4" x14ac:dyDescent="0.2">
      <c r="A1124" s="8" t="s">
        <v>3533</v>
      </c>
      <c r="B1124" s="8" t="s">
        <v>3534</v>
      </c>
      <c r="C1124" s="8">
        <v>-1.1135474430583701</v>
      </c>
      <c r="D1124" s="8">
        <v>1.9109900099416599E-2</v>
      </c>
    </row>
    <row r="1125" spans="1:4" x14ac:dyDescent="0.2">
      <c r="A1125" s="8" t="s">
        <v>3535</v>
      </c>
      <c r="B1125" s="8" t="s">
        <v>3536</v>
      </c>
      <c r="C1125" s="8">
        <v>-1.02826648448418</v>
      </c>
      <c r="D1125" s="8">
        <v>3.0111077760735801E-2</v>
      </c>
    </row>
    <row r="1126" spans="1:4" x14ac:dyDescent="0.2">
      <c r="A1126" s="8" t="s">
        <v>3537</v>
      </c>
      <c r="B1126" s="8" t="s">
        <v>3538</v>
      </c>
      <c r="C1126" s="8">
        <v>-1.5131534443554999</v>
      </c>
      <c r="D1126" s="8">
        <v>4.1701166595174602E-2</v>
      </c>
    </row>
    <row r="1127" spans="1:4" x14ac:dyDescent="0.2">
      <c r="A1127" s="8" t="s">
        <v>3539</v>
      </c>
      <c r="B1127" s="8" t="s">
        <v>3540</v>
      </c>
      <c r="C1127" s="8">
        <v>-2.3355521650265301</v>
      </c>
      <c r="D1127" s="8">
        <v>4.3764941316489003E-2</v>
      </c>
    </row>
    <row r="1128" spans="1:4" x14ac:dyDescent="0.2">
      <c r="A1128" s="8" t="s">
        <v>3541</v>
      </c>
      <c r="B1128" s="8" t="s">
        <v>3542</v>
      </c>
      <c r="C1128" s="8">
        <v>1.72082097453058</v>
      </c>
      <c r="D1128" s="8">
        <v>1.6394650035034399E-2</v>
      </c>
    </row>
    <row r="1129" spans="1:4" x14ac:dyDescent="0.2">
      <c r="A1129" s="8" t="s">
        <v>3543</v>
      </c>
      <c r="B1129" s="8" t="s">
        <v>3544</v>
      </c>
      <c r="C1129" s="8">
        <v>-1.0578598306649001</v>
      </c>
      <c r="D1129" s="8">
        <v>2.3517552631491599E-2</v>
      </c>
    </row>
    <row r="1130" spans="1:4" x14ac:dyDescent="0.2">
      <c r="A1130" s="8" t="s">
        <v>3545</v>
      </c>
      <c r="B1130" s="8" t="s">
        <v>3546</v>
      </c>
      <c r="C1130" s="8">
        <v>-2.53631315539804</v>
      </c>
      <c r="D1130" s="8">
        <v>1.7376455660118899E-2</v>
      </c>
    </row>
    <row r="1131" spans="1:4" x14ac:dyDescent="0.2">
      <c r="A1131" s="8" t="s">
        <v>3547</v>
      </c>
      <c r="B1131" s="8" t="s">
        <v>3548</v>
      </c>
      <c r="C1131" s="8">
        <v>2.6598922528850801</v>
      </c>
      <c r="D1131" s="8">
        <v>1.4428796715454601E-3</v>
      </c>
    </row>
    <row r="1132" spans="1:4" x14ac:dyDescent="0.2">
      <c r="A1132" s="8" t="s">
        <v>3549</v>
      </c>
      <c r="B1132" s="8" t="s">
        <v>3550</v>
      </c>
      <c r="C1132" s="8">
        <v>2.050234080369</v>
      </c>
      <c r="D1132" s="8">
        <v>1.6757524013966199E-3</v>
      </c>
    </row>
    <row r="1133" spans="1:4" x14ac:dyDescent="0.2">
      <c r="A1133" s="8" t="s">
        <v>3551</v>
      </c>
      <c r="B1133" s="8" t="s">
        <v>3552</v>
      </c>
      <c r="C1133" s="8">
        <v>-2.87321282976822</v>
      </c>
      <c r="D1133" s="8">
        <v>5.5080741493211197E-3</v>
      </c>
    </row>
    <row r="1134" spans="1:4" x14ac:dyDescent="0.2">
      <c r="A1134" s="8" t="s">
        <v>3553</v>
      </c>
      <c r="B1134" s="8" t="s">
        <v>3554</v>
      </c>
      <c r="C1134" s="8">
        <v>-2.1748542738007202</v>
      </c>
      <c r="D1134" s="9">
        <v>5.39137040806071E-5</v>
      </c>
    </row>
    <row r="1135" spans="1:4" x14ac:dyDescent="0.2">
      <c r="A1135" s="8" t="s">
        <v>3555</v>
      </c>
      <c r="B1135" s="8" t="s">
        <v>3556</v>
      </c>
      <c r="C1135" s="8">
        <v>-1.1401986716142001</v>
      </c>
      <c r="D1135" s="8">
        <v>4.6021860895466404E-3</v>
      </c>
    </row>
    <row r="1136" spans="1:4" x14ac:dyDescent="0.2">
      <c r="A1136" s="8" t="s">
        <v>3557</v>
      </c>
      <c r="B1136" s="8" t="s">
        <v>3558</v>
      </c>
      <c r="C1136" s="8">
        <v>-1.7382353529627099</v>
      </c>
      <c r="D1136" s="8">
        <v>6.2272765983371701E-3</v>
      </c>
    </row>
    <row r="1137" spans="1:4" x14ac:dyDescent="0.2">
      <c r="A1137" s="8" t="s">
        <v>3559</v>
      </c>
      <c r="B1137" s="8" t="s">
        <v>3560</v>
      </c>
      <c r="C1137" s="8">
        <v>-2.7549260239312101</v>
      </c>
      <c r="D1137" s="8">
        <v>5.6888482460583003E-3</v>
      </c>
    </row>
    <row r="1138" spans="1:4" x14ac:dyDescent="0.2">
      <c r="A1138" s="8" t="s">
        <v>3561</v>
      </c>
      <c r="B1138" s="8" t="s">
        <v>3562</v>
      </c>
      <c r="C1138" s="8">
        <v>3.7406039806838201</v>
      </c>
      <c r="D1138" s="8">
        <v>4.6631340332802702E-2</v>
      </c>
    </row>
    <row r="1139" spans="1:4" x14ac:dyDescent="0.2">
      <c r="A1139" s="8" t="s">
        <v>3563</v>
      </c>
      <c r="B1139" s="8" t="s">
        <v>3564</v>
      </c>
      <c r="C1139" s="8">
        <v>-1.16193815303545</v>
      </c>
      <c r="D1139" s="8">
        <v>3.6867076356176399E-2</v>
      </c>
    </row>
    <row r="1140" spans="1:4" x14ac:dyDescent="0.2">
      <c r="A1140" s="8" t="s">
        <v>3565</v>
      </c>
      <c r="B1140" s="8" t="s">
        <v>3566</v>
      </c>
      <c r="C1140" s="8">
        <v>-3.3475642184181198</v>
      </c>
      <c r="D1140" s="8">
        <v>1.0038132917619199E-2</v>
      </c>
    </row>
    <row r="1141" spans="1:4" x14ac:dyDescent="0.2">
      <c r="A1141" s="8" t="s">
        <v>3567</v>
      </c>
      <c r="B1141" s="8" t="s">
        <v>3568</v>
      </c>
      <c r="C1141" s="8">
        <v>1.1670664282366401</v>
      </c>
      <c r="D1141" s="8">
        <v>1.4437164018201601E-2</v>
      </c>
    </row>
    <row r="1142" spans="1:4" x14ac:dyDescent="0.2">
      <c r="A1142" s="8" t="s">
        <v>3569</v>
      </c>
      <c r="B1142" s="8" t="s">
        <v>3570</v>
      </c>
      <c r="C1142" s="8">
        <v>-1.4144541932708601</v>
      </c>
      <c r="D1142" s="8">
        <v>4.4079045402592602E-2</v>
      </c>
    </row>
    <row r="1143" spans="1:4" x14ac:dyDescent="0.2">
      <c r="A1143" s="8" t="s">
        <v>3571</v>
      </c>
      <c r="B1143" s="8" t="s">
        <v>3572</v>
      </c>
      <c r="C1143" s="8">
        <v>1.0200061341896101</v>
      </c>
      <c r="D1143" s="8">
        <v>9.01929869416398E-3</v>
      </c>
    </row>
    <row r="1144" spans="1:4" x14ac:dyDescent="0.2">
      <c r="A1144" s="8" t="s">
        <v>3573</v>
      </c>
      <c r="B1144" s="8" t="s">
        <v>3574</v>
      </c>
      <c r="C1144" s="8">
        <v>1.48156510209498</v>
      </c>
      <c r="D1144" s="8">
        <v>4.72017313018556E-2</v>
      </c>
    </row>
    <row r="1145" spans="1:4" x14ac:dyDescent="0.2">
      <c r="A1145" s="8" t="s">
        <v>3575</v>
      </c>
      <c r="B1145" s="8" t="s">
        <v>3576</v>
      </c>
      <c r="C1145" s="8">
        <v>5.1938401898016204</v>
      </c>
      <c r="D1145" s="8">
        <v>1.50197179445148E-2</v>
      </c>
    </row>
    <row r="1146" spans="1:4" x14ac:dyDescent="0.2">
      <c r="A1146" s="8" t="s">
        <v>3577</v>
      </c>
      <c r="B1146" s="8" t="s">
        <v>3578</v>
      </c>
      <c r="C1146" s="8">
        <v>2.67590674096156</v>
      </c>
      <c r="D1146" s="8">
        <v>2.0563998200262301E-3</v>
      </c>
    </row>
    <row r="1147" spans="1:4" x14ac:dyDescent="0.2">
      <c r="A1147" s="8" t="s">
        <v>3579</v>
      </c>
      <c r="B1147" s="8" t="s">
        <v>3580</v>
      </c>
      <c r="C1147" s="8">
        <v>1.03953097910313</v>
      </c>
      <c r="D1147" s="8">
        <v>5.9407245586577404E-3</v>
      </c>
    </row>
    <row r="1148" spans="1:4" x14ac:dyDescent="0.2">
      <c r="A1148" s="8" t="s">
        <v>3581</v>
      </c>
      <c r="B1148" s="8" t="s">
        <v>3582</v>
      </c>
      <c r="C1148" s="8">
        <v>1.1699328164688101</v>
      </c>
      <c r="D1148" s="8">
        <v>1.17844579209748E-3</v>
      </c>
    </row>
    <row r="1149" spans="1:4" x14ac:dyDescent="0.2">
      <c r="A1149" s="8" t="s">
        <v>3583</v>
      </c>
      <c r="B1149" s="8" t="s">
        <v>3584</v>
      </c>
      <c r="C1149" s="8">
        <v>-1.65654290324867</v>
      </c>
      <c r="D1149" s="8">
        <v>5.88666449217969E-3</v>
      </c>
    </row>
    <row r="1150" spans="1:4" x14ac:dyDescent="0.2">
      <c r="A1150" s="8" t="s">
        <v>3585</v>
      </c>
      <c r="B1150" s="8" t="s">
        <v>3586</v>
      </c>
      <c r="C1150" s="8">
        <v>-2.2748568822595501</v>
      </c>
      <c r="D1150" s="8">
        <v>7.7878256187520999E-3</v>
      </c>
    </row>
    <row r="1151" spans="1:4" x14ac:dyDescent="0.2">
      <c r="A1151" s="8" t="s">
        <v>3587</v>
      </c>
      <c r="B1151" s="8" t="s">
        <v>3588</v>
      </c>
      <c r="C1151" s="8">
        <v>2.1720142514501699</v>
      </c>
      <c r="D1151" s="8">
        <v>2.4029281602723201E-2</v>
      </c>
    </row>
    <row r="1152" spans="1:4" x14ac:dyDescent="0.2">
      <c r="A1152" s="8" t="s">
        <v>3589</v>
      </c>
      <c r="B1152" s="8" t="s">
        <v>3590</v>
      </c>
      <c r="C1152" s="8">
        <v>-1.1589990227261799</v>
      </c>
      <c r="D1152" s="8">
        <v>2.62630967563918E-2</v>
      </c>
    </row>
    <row r="1153" spans="1:4" x14ac:dyDescent="0.2">
      <c r="A1153" s="8" t="s">
        <v>3591</v>
      </c>
      <c r="B1153" s="8" t="s">
        <v>3592</v>
      </c>
      <c r="C1153" s="8">
        <v>-5.1750672396065101</v>
      </c>
      <c r="D1153" s="8">
        <v>5.9701543108455204E-3</v>
      </c>
    </row>
    <row r="1154" spans="1:4" x14ac:dyDescent="0.2">
      <c r="A1154" s="8" t="s">
        <v>3593</v>
      </c>
      <c r="B1154" s="8" t="s">
        <v>3594</v>
      </c>
      <c r="C1154" s="8">
        <v>-1.9982942181732799</v>
      </c>
      <c r="D1154" s="8">
        <v>7.0780251097916601E-3</v>
      </c>
    </row>
    <row r="1155" spans="1:4" x14ac:dyDescent="0.2">
      <c r="A1155" s="8" t="s">
        <v>3595</v>
      </c>
      <c r="B1155" s="8" t="s">
        <v>3596</v>
      </c>
      <c r="C1155" s="8">
        <v>2.4430860946112598</v>
      </c>
      <c r="D1155" s="8">
        <v>7.2979534484427797E-3</v>
      </c>
    </row>
    <row r="1156" spans="1:4" x14ac:dyDescent="0.2">
      <c r="A1156" s="8" t="s">
        <v>3597</v>
      </c>
      <c r="B1156" s="8" t="s">
        <v>3598</v>
      </c>
      <c r="C1156" s="8">
        <v>2.8135404866633502</v>
      </c>
      <c r="D1156" s="9">
        <v>6.8337398283665698E-5</v>
      </c>
    </row>
    <row r="1157" spans="1:4" x14ac:dyDescent="0.2">
      <c r="A1157" s="8" t="s">
        <v>3599</v>
      </c>
      <c r="B1157" s="8" t="s">
        <v>3600</v>
      </c>
      <c r="C1157" s="8">
        <v>1.49330612408703</v>
      </c>
      <c r="D1157" s="8">
        <v>3.8351937231747298E-2</v>
      </c>
    </row>
    <row r="1158" spans="1:4" x14ac:dyDescent="0.2">
      <c r="A1158" s="8" t="s">
        <v>3601</v>
      </c>
      <c r="B1158" s="8" t="s">
        <v>3602</v>
      </c>
      <c r="C1158" s="8">
        <v>-5.2745322001630104</v>
      </c>
      <c r="D1158" s="8">
        <v>8.4509737103162594E-3</v>
      </c>
    </row>
    <row r="1159" spans="1:4" x14ac:dyDescent="0.2">
      <c r="A1159" s="8" t="s">
        <v>3603</v>
      </c>
      <c r="B1159" s="8" t="s">
        <v>3604</v>
      </c>
      <c r="C1159" s="8">
        <v>-2.7081284464308002</v>
      </c>
      <c r="D1159" s="8">
        <v>1.7999868418407099E-2</v>
      </c>
    </row>
    <row r="1160" spans="1:4" x14ac:dyDescent="0.2">
      <c r="A1160" s="8" t="s">
        <v>3605</v>
      </c>
      <c r="B1160" s="8" t="s">
        <v>3606</v>
      </c>
      <c r="C1160" s="8">
        <v>-1.78987250217632</v>
      </c>
      <c r="D1160" s="8">
        <v>4.4130494487183598E-2</v>
      </c>
    </row>
    <row r="1161" spans="1:4" x14ac:dyDescent="0.2">
      <c r="A1161" s="8" t="s">
        <v>3607</v>
      </c>
      <c r="B1161" s="8" t="s">
        <v>3608</v>
      </c>
      <c r="C1161" s="8">
        <v>-2.7247558962162901</v>
      </c>
      <c r="D1161" s="8">
        <v>1.17461470592046E-2</v>
      </c>
    </row>
    <row r="1162" spans="1:4" x14ac:dyDescent="0.2">
      <c r="A1162" s="8" t="s">
        <v>3609</v>
      </c>
      <c r="B1162" s="8" t="s">
        <v>3610</v>
      </c>
      <c r="C1162" s="8">
        <v>-2.4350778303617302</v>
      </c>
      <c r="D1162" s="8">
        <v>3.4489521228237598E-2</v>
      </c>
    </row>
    <row r="1163" spans="1:4" x14ac:dyDescent="0.2">
      <c r="A1163" s="8" t="s">
        <v>3611</v>
      </c>
      <c r="B1163" s="8" t="s">
        <v>3612</v>
      </c>
      <c r="C1163" s="8">
        <v>-3.1148987256552298</v>
      </c>
      <c r="D1163" s="8">
        <v>2.3094842490377801E-3</v>
      </c>
    </row>
    <row r="1164" spans="1:4" x14ac:dyDescent="0.2">
      <c r="A1164" s="8" t="s">
        <v>3613</v>
      </c>
      <c r="B1164" s="8" t="s">
        <v>3614</v>
      </c>
      <c r="C1164" s="8">
        <v>2.1645390808700098</v>
      </c>
      <c r="D1164" s="8">
        <v>1.6294761130205E-3</v>
      </c>
    </row>
    <row r="1165" spans="1:4" x14ac:dyDescent="0.2">
      <c r="A1165" s="8" t="s">
        <v>3615</v>
      </c>
      <c r="B1165" s="8" t="s">
        <v>3616</v>
      </c>
      <c r="C1165" s="8">
        <v>1.8455693883455799</v>
      </c>
      <c r="D1165" s="8">
        <v>1.6366760070946298E-2</v>
      </c>
    </row>
    <row r="1166" spans="1:4" x14ac:dyDescent="0.2">
      <c r="A1166" s="8" t="s">
        <v>3617</v>
      </c>
      <c r="B1166" s="8" t="s">
        <v>3618</v>
      </c>
      <c r="C1166" s="8">
        <v>-1.41739070892107</v>
      </c>
      <c r="D1166" s="8">
        <v>1.2896053223398801E-2</v>
      </c>
    </row>
    <row r="1167" spans="1:4" x14ac:dyDescent="0.2">
      <c r="A1167" s="8" t="s">
        <v>3619</v>
      </c>
      <c r="B1167" s="8" t="s">
        <v>3620</v>
      </c>
      <c r="C1167" s="8">
        <v>-2.48311605521745</v>
      </c>
      <c r="D1167" s="8">
        <v>3.45468298537244E-3</v>
      </c>
    </row>
    <row r="1168" spans="1:4" x14ac:dyDescent="0.2">
      <c r="A1168" s="8" t="s">
        <v>3621</v>
      </c>
      <c r="B1168" s="8" t="s">
        <v>3622</v>
      </c>
      <c r="C1168" s="8">
        <v>-2.73441657612566</v>
      </c>
      <c r="D1168" s="8">
        <v>1.16359645085329E-2</v>
      </c>
    </row>
    <row r="1169" spans="1:4" x14ac:dyDescent="0.2">
      <c r="A1169" s="8" t="s">
        <v>3623</v>
      </c>
      <c r="B1169" s="8" t="s">
        <v>3624</v>
      </c>
      <c r="C1169" s="8">
        <v>-2.3657078820048199</v>
      </c>
      <c r="D1169" s="8">
        <v>3.2574694252362102E-3</v>
      </c>
    </row>
    <row r="1170" spans="1:4" x14ac:dyDescent="0.2">
      <c r="A1170" s="8" t="s">
        <v>3625</v>
      </c>
      <c r="B1170" s="8" t="s">
        <v>3626</v>
      </c>
      <c r="C1170" s="8">
        <v>-1.51857457951011</v>
      </c>
      <c r="D1170" s="8">
        <v>2.1391341157989299E-3</v>
      </c>
    </row>
    <row r="1171" spans="1:4" x14ac:dyDescent="0.2">
      <c r="A1171" s="8" t="s">
        <v>3627</v>
      </c>
      <c r="B1171" s="8" t="s">
        <v>3628</v>
      </c>
      <c r="C1171" s="8">
        <v>1.67123937749393</v>
      </c>
      <c r="D1171" s="8">
        <v>3.5308673326437301E-4</v>
      </c>
    </row>
    <row r="1172" spans="1:4" x14ac:dyDescent="0.2">
      <c r="A1172" s="8" t="s">
        <v>3629</v>
      </c>
      <c r="B1172" s="8" t="s">
        <v>3630</v>
      </c>
      <c r="C1172" s="8">
        <v>5.2581059094877496</v>
      </c>
      <c r="D1172" s="8">
        <v>5.4947255921115601E-3</v>
      </c>
    </row>
    <row r="1173" spans="1:4" x14ac:dyDescent="0.2">
      <c r="A1173" s="8" t="s">
        <v>3631</v>
      </c>
      <c r="B1173" s="8" t="s">
        <v>3632</v>
      </c>
      <c r="C1173" s="8">
        <v>1.1042193875616699</v>
      </c>
      <c r="D1173" s="8">
        <v>4.2212644052473401E-2</v>
      </c>
    </row>
    <row r="1174" spans="1:4" x14ac:dyDescent="0.2">
      <c r="A1174" s="8" t="s">
        <v>3633</v>
      </c>
      <c r="B1174" s="8" t="s">
        <v>3634</v>
      </c>
      <c r="C1174" s="8">
        <v>1.31830489819204</v>
      </c>
      <c r="D1174" s="8">
        <v>2.76936296582764E-2</v>
      </c>
    </row>
    <row r="1175" spans="1:4" x14ac:dyDescent="0.2">
      <c r="A1175" s="8" t="s">
        <v>3635</v>
      </c>
      <c r="B1175" s="8" t="s">
        <v>3636</v>
      </c>
      <c r="C1175" s="8">
        <v>1.37609445324516</v>
      </c>
      <c r="D1175" s="8">
        <v>2.7221299937644699E-2</v>
      </c>
    </row>
    <row r="1176" spans="1:4" x14ac:dyDescent="0.2">
      <c r="A1176" s="8" t="s">
        <v>3637</v>
      </c>
      <c r="B1176" s="8" t="s">
        <v>3638</v>
      </c>
      <c r="C1176" s="8">
        <v>-1.16397079691655</v>
      </c>
      <c r="D1176" s="8">
        <v>3.1126871796938599E-2</v>
      </c>
    </row>
    <row r="1177" spans="1:4" x14ac:dyDescent="0.2">
      <c r="A1177" s="8" t="s">
        <v>3639</v>
      </c>
      <c r="B1177" s="8" t="s">
        <v>3640</v>
      </c>
      <c r="C1177" s="8">
        <v>-1.3927893381652401</v>
      </c>
      <c r="D1177" s="8">
        <v>1.1966080049807301E-3</v>
      </c>
    </row>
    <row r="1178" spans="1:4" x14ac:dyDescent="0.2">
      <c r="A1178" s="8" t="s">
        <v>3641</v>
      </c>
      <c r="B1178" s="8" t="s">
        <v>3642</v>
      </c>
      <c r="C1178" s="8">
        <v>-1.6085044087390199</v>
      </c>
      <c r="D1178" s="8">
        <v>2.9633857673551402E-2</v>
      </c>
    </row>
    <row r="1179" spans="1:4" x14ac:dyDescent="0.2">
      <c r="A1179" s="8" t="s">
        <v>3643</v>
      </c>
      <c r="B1179" s="8" t="s">
        <v>3644</v>
      </c>
      <c r="C1179" s="8">
        <v>1.39106969063657</v>
      </c>
      <c r="D1179" s="8">
        <v>4.2369978673965098E-3</v>
      </c>
    </row>
    <row r="1180" spans="1:4" x14ac:dyDescent="0.2">
      <c r="A1180" s="8" t="s">
        <v>3645</v>
      </c>
      <c r="B1180" s="8" t="s">
        <v>3646</v>
      </c>
      <c r="C1180" s="8">
        <v>1.5655780167570901</v>
      </c>
      <c r="D1180" s="8">
        <v>3.2033417661871497E-2</v>
      </c>
    </row>
    <row r="1181" spans="1:4" x14ac:dyDescent="0.2">
      <c r="A1181" s="8" t="s">
        <v>3647</v>
      </c>
      <c r="B1181" s="8" t="s">
        <v>3648</v>
      </c>
      <c r="C1181" s="8">
        <v>2.0879023041201501</v>
      </c>
      <c r="D1181" s="8">
        <v>3.2344799535551597E-2</v>
      </c>
    </row>
    <row r="1182" spans="1:4" x14ac:dyDescent="0.2">
      <c r="A1182" s="8" t="s">
        <v>3649</v>
      </c>
      <c r="B1182" s="8" t="s">
        <v>3650</v>
      </c>
      <c r="C1182" s="8">
        <v>1.5538804492582301</v>
      </c>
      <c r="D1182" s="8">
        <v>1.4611526710550399E-3</v>
      </c>
    </row>
    <row r="1183" spans="1:4" x14ac:dyDescent="0.2">
      <c r="A1183" s="8" t="s">
        <v>3651</v>
      </c>
      <c r="B1183" s="8" t="s">
        <v>3652</v>
      </c>
      <c r="C1183" s="8">
        <v>4.9876216630239698</v>
      </c>
      <c r="D1183" s="8">
        <v>5.5370574014390198E-3</v>
      </c>
    </row>
    <row r="1184" spans="1:4" x14ac:dyDescent="0.2">
      <c r="A1184" s="8" t="s">
        <v>3653</v>
      </c>
      <c r="B1184" s="8" t="s">
        <v>3654</v>
      </c>
      <c r="C1184" s="8">
        <v>2.31502230461501</v>
      </c>
      <c r="D1184" s="8">
        <v>4.3187040368617299E-2</v>
      </c>
    </row>
    <row r="1185" spans="1:4" x14ac:dyDescent="0.2">
      <c r="A1185" s="8" t="s">
        <v>3655</v>
      </c>
      <c r="B1185" s="8" t="s">
        <v>3656</v>
      </c>
      <c r="C1185" s="8">
        <v>-2.0461970202383601</v>
      </c>
      <c r="D1185" s="8">
        <v>4.3232945042018897E-2</v>
      </c>
    </row>
    <row r="1186" spans="1:4" x14ac:dyDescent="0.2">
      <c r="A1186" s="8" t="s">
        <v>3657</v>
      </c>
      <c r="B1186" s="8" t="s">
        <v>3658</v>
      </c>
      <c r="C1186" s="8">
        <v>-1.6444760369321501</v>
      </c>
      <c r="D1186" s="8">
        <v>1.5916460442173599E-4</v>
      </c>
    </row>
    <row r="1187" spans="1:4" x14ac:dyDescent="0.2">
      <c r="A1187" s="8" t="s">
        <v>3659</v>
      </c>
      <c r="B1187" s="8" t="s">
        <v>3660</v>
      </c>
      <c r="C1187" s="8">
        <v>-1.49291527785518</v>
      </c>
      <c r="D1187" s="8">
        <v>1.7305578803106601E-2</v>
      </c>
    </row>
    <row r="1188" spans="1:4" x14ac:dyDescent="0.2">
      <c r="A1188" s="8" t="s">
        <v>3661</v>
      </c>
      <c r="B1188" s="8" t="s">
        <v>3662</v>
      </c>
      <c r="C1188" s="8">
        <v>-1.06840861067411</v>
      </c>
      <c r="D1188" s="8">
        <v>7.8074239619729102E-3</v>
      </c>
    </row>
    <row r="1189" spans="1:4" x14ac:dyDescent="0.2">
      <c r="A1189" s="8" t="s">
        <v>3663</v>
      </c>
      <c r="B1189" s="8" t="s">
        <v>3664</v>
      </c>
      <c r="C1189" s="8">
        <v>1.06069855890384</v>
      </c>
      <c r="D1189" s="8">
        <v>1.2636161282760201E-2</v>
      </c>
    </row>
    <row r="1190" spans="1:4" x14ac:dyDescent="0.2">
      <c r="A1190" s="8" t="s">
        <v>3665</v>
      </c>
      <c r="B1190" s="8" t="s">
        <v>3666</v>
      </c>
      <c r="C1190" s="8">
        <v>-1.2463389106338001</v>
      </c>
      <c r="D1190" s="8">
        <v>2.8404620378947799E-2</v>
      </c>
    </row>
    <row r="1191" spans="1:4" x14ac:dyDescent="0.2">
      <c r="A1191" s="8" t="s">
        <v>3667</v>
      </c>
      <c r="B1191" s="8" t="s">
        <v>3668</v>
      </c>
      <c r="C1191" s="8">
        <v>-1.3072875114129701</v>
      </c>
      <c r="D1191" s="8">
        <v>4.7774607096470099E-2</v>
      </c>
    </row>
    <row r="1192" spans="1:4" x14ac:dyDescent="0.2">
      <c r="A1192" s="8" t="s">
        <v>3669</v>
      </c>
      <c r="B1192" s="8" t="s">
        <v>3670</v>
      </c>
      <c r="C1192" s="8">
        <v>1.36374820212979</v>
      </c>
      <c r="D1192" s="8">
        <v>2.7307823461623599E-2</v>
      </c>
    </row>
    <row r="1193" spans="1:4" x14ac:dyDescent="0.2">
      <c r="A1193" s="8" t="s">
        <v>3671</v>
      </c>
      <c r="B1193" s="8" t="s">
        <v>3278</v>
      </c>
      <c r="C1193" s="8">
        <v>-1.0957238558708</v>
      </c>
      <c r="D1193" s="8">
        <v>3.8340119454710199E-2</v>
      </c>
    </row>
    <row r="1194" spans="1:4" x14ac:dyDescent="0.2">
      <c r="A1194" s="8" t="s">
        <v>3672</v>
      </c>
      <c r="B1194" s="8" t="s">
        <v>3673</v>
      </c>
      <c r="C1194" s="8">
        <v>-1.9493501076444</v>
      </c>
      <c r="D1194" s="8">
        <v>3.3516596721368398E-2</v>
      </c>
    </row>
    <row r="1195" spans="1:4" x14ac:dyDescent="0.2">
      <c r="A1195" s="8" t="s">
        <v>3674</v>
      </c>
      <c r="B1195" s="8" t="s">
        <v>3675</v>
      </c>
      <c r="C1195" s="8">
        <v>-1.81588230129533</v>
      </c>
      <c r="D1195" s="8">
        <v>4.8333451987466601E-2</v>
      </c>
    </row>
    <row r="1196" spans="1:4" x14ac:dyDescent="0.2">
      <c r="A1196" s="8" t="s">
        <v>3676</v>
      </c>
      <c r="B1196" s="8" t="s">
        <v>3677</v>
      </c>
      <c r="C1196" s="8">
        <v>-2.06479299664004</v>
      </c>
      <c r="D1196" s="8">
        <v>3.6386856082296498E-3</v>
      </c>
    </row>
    <row r="1197" spans="1:4" x14ac:dyDescent="0.2">
      <c r="A1197" s="8" t="s">
        <v>3678</v>
      </c>
      <c r="B1197" s="8" t="s">
        <v>3679</v>
      </c>
      <c r="C1197" s="8">
        <v>-1.42936479470428</v>
      </c>
      <c r="D1197" s="8">
        <v>9.9478761902174005E-3</v>
      </c>
    </row>
    <row r="1198" spans="1:4" x14ac:dyDescent="0.2">
      <c r="A1198" s="8" t="s">
        <v>3680</v>
      </c>
      <c r="B1198" s="8" t="s">
        <v>3681</v>
      </c>
      <c r="C1198" s="8">
        <v>1.04471214232568</v>
      </c>
      <c r="D1198" s="8">
        <v>1.0078048017413001E-2</v>
      </c>
    </row>
    <row r="1199" spans="1:4" x14ac:dyDescent="0.2">
      <c r="A1199" s="8" t="s">
        <v>3682</v>
      </c>
      <c r="B1199" s="8" t="s">
        <v>3683</v>
      </c>
      <c r="C1199" s="8">
        <v>-1.63395406708903</v>
      </c>
      <c r="D1199" s="8">
        <v>5.6649080438462797E-3</v>
      </c>
    </row>
    <row r="1200" spans="1:4" x14ac:dyDescent="0.2">
      <c r="A1200" s="8" t="s">
        <v>3684</v>
      </c>
      <c r="B1200" s="8" t="s">
        <v>3685</v>
      </c>
      <c r="C1200" s="8">
        <v>2.3306720102136298</v>
      </c>
      <c r="D1200" s="9">
        <v>1.1983936501293799E-5</v>
      </c>
    </row>
    <row r="1201" spans="1:4" x14ac:dyDescent="0.2">
      <c r="A1201" s="8" t="s">
        <v>3686</v>
      </c>
      <c r="B1201" s="8" t="s">
        <v>3687</v>
      </c>
      <c r="C1201" s="8">
        <v>1.96617799270204</v>
      </c>
      <c r="D1201" s="9">
        <v>5.4903099654110003E-5</v>
      </c>
    </row>
    <row r="1202" spans="1:4" x14ac:dyDescent="0.2">
      <c r="A1202" s="8" t="s">
        <v>3688</v>
      </c>
      <c r="B1202" s="8" t="s">
        <v>3689</v>
      </c>
      <c r="C1202" s="8">
        <v>2.7238634246370799</v>
      </c>
      <c r="D1202" s="8">
        <v>1.6004111073616899E-2</v>
      </c>
    </row>
    <row r="1203" spans="1:4" x14ac:dyDescent="0.2">
      <c r="A1203" s="8" t="s">
        <v>3690</v>
      </c>
      <c r="B1203" s="8" t="s">
        <v>3691</v>
      </c>
      <c r="C1203" s="8">
        <v>-1.6179567342307</v>
      </c>
      <c r="D1203" s="8">
        <v>2.8773475153004099E-2</v>
      </c>
    </row>
    <row r="1204" spans="1:4" x14ac:dyDescent="0.2">
      <c r="A1204" s="8" t="s">
        <v>3692</v>
      </c>
      <c r="B1204" s="8" t="s">
        <v>3693</v>
      </c>
      <c r="C1204" s="8">
        <v>-1.5102760672655999</v>
      </c>
      <c r="D1204" s="8">
        <v>4.7676976169973399E-2</v>
      </c>
    </row>
    <row r="1205" spans="1:4" x14ac:dyDescent="0.2">
      <c r="A1205" s="8" t="s">
        <v>3694</v>
      </c>
      <c r="B1205" s="8" t="s">
        <v>3695</v>
      </c>
      <c r="C1205" s="8">
        <v>-2.87153501709947</v>
      </c>
      <c r="D1205" s="8">
        <v>1.6765172875697499E-2</v>
      </c>
    </row>
    <row r="1206" spans="1:4" x14ac:dyDescent="0.2">
      <c r="A1206" s="8" t="s">
        <v>3696</v>
      </c>
      <c r="B1206" s="8" t="s">
        <v>3697</v>
      </c>
      <c r="C1206" s="8">
        <v>-1.81408983931443</v>
      </c>
      <c r="D1206" s="8">
        <v>2.2356776081816701E-2</v>
      </c>
    </row>
    <row r="1207" spans="1:4" x14ac:dyDescent="0.2">
      <c r="A1207" s="8" t="s">
        <v>3698</v>
      </c>
      <c r="B1207" s="8" t="s">
        <v>3699</v>
      </c>
      <c r="C1207" s="8">
        <v>-1.17280072376753</v>
      </c>
      <c r="D1207" s="8">
        <v>1.46882802151E-2</v>
      </c>
    </row>
    <row r="1208" spans="1:4" x14ac:dyDescent="0.2">
      <c r="A1208" s="8" t="s">
        <v>3700</v>
      </c>
      <c r="B1208" s="8" t="s">
        <v>3701</v>
      </c>
      <c r="C1208" s="8">
        <v>1.3116325726295099</v>
      </c>
      <c r="D1208" s="8">
        <v>3.4396705128784698E-2</v>
      </c>
    </row>
    <row r="1209" spans="1:4" x14ac:dyDescent="0.2">
      <c r="A1209" s="8" t="s">
        <v>3702</v>
      </c>
      <c r="B1209" s="8" t="s">
        <v>3703</v>
      </c>
      <c r="C1209" s="8">
        <v>2.7531045000680301</v>
      </c>
      <c r="D1209" s="8">
        <v>2.9568418490880499E-2</v>
      </c>
    </row>
    <row r="1210" spans="1:4" x14ac:dyDescent="0.2">
      <c r="A1210" s="8" t="s">
        <v>3704</v>
      </c>
      <c r="B1210" s="8" t="s">
        <v>3705</v>
      </c>
      <c r="C1210" s="8">
        <v>3.28336214278163</v>
      </c>
      <c r="D1210" s="8">
        <v>2.0451248840448501E-2</v>
      </c>
    </row>
    <row r="1211" spans="1:4" x14ac:dyDescent="0.2">
      <c r="A1211" s="8" t="s">
        <v>3706</v>
      </c>
      <c r="B1211" s="8" t="s">
        <v>3707</v>
      </c>
      <c r="C1211" s="8">
        <v>-1.9785477826765501</v>
      </c>
      <c r="D1211" s="8">
        <v>3.3509560173704198E-2</v>
      </c>
    </row>
    <row r="1212" spans="1:4" x14ac:dyDescent="0.2">
      <c r="A1212" s="8" t="s">
        <v>3708</v>
      </c>
      <c r="B1212" s="8" t="s">
        <v>3709</v>
      </c>
      <c r="C1212" s="8">
        <v>1.2288119712064201</v>
      </c>
      <c r="D1212" s="8">
        <v>3.8834606756687801E-4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README</vt:lpstr>
      <vt:lpstr>sh-TP5304-1 vs  sh-LacZ in ADR</vt:lpstr>
      <vt:lpstr>643 overlapped genes</vt:lpstr>
      <vt:lpstr>1211 TP53LC04 dependent genes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2022-04-11T04:50:39Z</dcterms:modified>
</cp:coreProperties>
</file>