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7"/>
  <workbookPr autoCompressPictures="0"/>
  <xr:revisionPtr revIDLastSave="0" documentId="11_05A10A5CD8F4ECBC3B372876C3AF5201A05E41CD" xr6:coauthVersionLast="45" xr6:coauthVersionMax="45" xr10:uidLastSave="{00000000-0000-0000-0000-000000000000}"/>
  <bookViews>
    <workbookView xWindow="1080" yWindow="40" windowWidth="25600" windowHeight="16060" tabRatio="500" xr2:uid="{00000000-000D-0000-FFFF-FFFF00000000}"/>
  </bookViews>
  <sheets>
    <sheet name="README" sheetId="7" r:id="rId1"/>
    <sheet name="Summary" sheetId="3" r:id="rId2"/>
    <sheet name="STRIPE-seq" sheetId="1" r:id="rId3"/>
    <sheet name="SLIC-CAGE" sheetId="5" r:id="rId4"/>
    <sheet name="nanoCAGE 2017" sheetId="4" r:id="rId5"/>
    <sheet name="nAnT-iCAGE" sheetId="6" r:id="rId6"/>
    <sheet name="RAMPAGE" sheetId="2" r:id="rId7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9" i="6" l="1"/>
  <c r="I3" i="6"/>
  <c r="J3" i="6"/>
  <c r="I4" i="6"/>
  <c r="J4" i="6"/>
  <c r="I5" i="6"/>
  <c r="J5" i="6"/>
  <c r="I6" i="6"/>
  <c r="J6" i="6"/>
  <c r="I7" i="6"/>
  <c r="J7" i="6"/>
  <c r="I8" i="6"/>
  <c r="J8" i="6"/>
  <c r="I9" i="6"/>
  <c r="J9" i="6"/>
  <c r="I10" i="6"/>
  <c r="J10" i="6"/>
  <c r="I11" i="6"/>
  <c r="J11" i="6"/>
  <c r="I12" i="6"/>
  <c r="J12" i="6"/>
  <c r="I13" i="6"/>
  <c r="J13" i="6"/>
  <c r="I14" i="6"/>
  <c r="J14" i="6"/>
  <c r="I15" i="6"/>
  <c r="J15" i="6"/>
  <c r="I16" i="6"/>
  <c r="J16" i="6"/>
  <c r="I17" i="6"/>
  <c r="J17" i="6"/>
  <c r="I18" i="6"/>
  <c r="J18" i="6"/>
  <c r="I19" i="6"/>
  <c r="J19" i="6"/>
  <c r="I20" i="6"/>
  <c r="J20" i="6"/>
  <c r="J42" i="6"/>
  <c r="J41" i="6"/>
  <c r="F41" i="6"/>
  <c r="C82" i="5"/>
  <c r="I3" i="5"/>
  <c r="J3" i="5"/>
  <c r="I4" i="5"/>
  <c r="J4" i="5"/>
  <c r="I5" i="5"/>
  <c r="J5" i="5"/>
  <c r="I6" i="5"/>
  <c r="J6" i="5"/>
  <c r="I8" i="5"/>
  <c r="J8" i="5"/>
  <c r="I9" i="5"/>
  <c r="J9" i="5"/>
  <c r="I10" i="5"/>
  <c r="J10" i="5"/>
  <c r="I11" i="5"/>
  <c r="J11" i="5"/>
  <c r="I12" i="5"/>
  <c r="J12" i="5"/>
  <c r="I13" i="5"/>
  <c r="J13" i="5"/>
  <c r="I14" i="5"/>
  <c r="J14" i="5"/>
  <c r="I15" i="5"/>
  <c r="J15" i="5"/>
  <c r="I16" i="5"/>
  <c r="J16" i="5"/>
  <c r="I17" i="5"/>
  <c r="J17" i="5"/>
  <c r="I18" i="5"/>
  <c r="J18" i="5"/>
  <c r="I19" i="5"/>
  <c r="J19" i="5"/>
  <c r="I20" i="5"/>
  <c r="J20" i="5"/>
  <c r="I21" i="5"/>
  <c r="J21" i="5"/>
  <c r="I22" i="5"/>
  <c r="J22" i="5"/>
  <c r="I23" i="5"/>
  <c r="J23" i="5"/>
  <c r="I24" i="5"/>
  <c r="J24" i="5"/>
  <c r="I26" i="5"/>
  <c r="J26" i="5"/>
  <c r="I30" i="5"/>
  <c r="J30" i="5"/>
  <c r="I31" i="5"/>
  <c r="J31" i="5"/>
  <c r="I32" i="5"/>
  <c r="J32" i="5"/>
  <c r="I33" i="5"/>
  <c r="J33" i="5"/>
  <c r="J44" i="5"/>
  <c r="F44" i="5"/>
  <c r="C41" i="4"/>
  <c r="C40" i="4"/>
  <c r="J24" i="4"/>
  <c r="I3" i="4"/>
  <c r="J3" i="4"/>
  <c r="I6" i="4"/>
  <c r="J6" i="4"/>
  <c r="I8" i="4"/>
  <c r="J8" i="4"/>
  <c r="I9" i="4"/>
  <c r="J9" i="4"/>
  <c r="I10" i="4"/>
  <c r="J10" i="4"/>
  <c r="I14" i="4"/>
  <c r="J14" i="4"/>
  <c r="I15" i="4"/>
  <c r="J15" i="4"/>
  <c r="I4" i="4"/>
  <c r="J4" i="4"/>
  <c r="I5" i="4"/>
  <c r="J5" i="4"/>
  <c r="J23" i="4"/>
  <c r="J22" i="4"/>
  <c r="F22" i="4"/>
  <c r="I7" i="4"/>
  <c r="J7" i="4"/>
  <c r="C42" i="2"/>
  <c r="I11" i="2"/>
  <c r="J11" i="2"/>
  <c r="I13" i="2"/>
  <c r="J13" i="2"/>
  <c r="I15" i="2"/>
  <c r="J15" i="2"/>
  <c r="I16" i="2"/>
  <c r="J16" i="2"/>
  <c r="I18" i="2"/>
  <c r="J18" i="2"/>
  <c r="I19" i="2"/>
  <c r="J19" i="2"/>
  <c r="J26" i="2"/>
  <c r="I3" i="2"/>
  <c r="J3" i="2"/>
  <c r="I4" i="2"/>
  <c r="J4" i="2"/>
  <c r="I9" i="2"/>
  <c r="J9" i="2"/>
  <c r="I6" i="2"/>
  <c r="J6" i="2"/>
  <c r="I5" i="2"/>
  <c r="J5" i="2"/>
  <c r="J25" i="2"/>
  <c r="F25" i="2"/>
  <c r="I10" i="2"/>
  <c r="J10" i="2"/>
  <c r="C26" i="1"/>
  <c r="I3" i="1"/>
  <c r="J3" i="1"/>
  <c r="I6" i="1"/>
  <c r="J6" i="1"/>
  <c r="I7" i="1"/>
  <c r="J7" i="1"/>
  <c r="I8" i="1"/>
  <c r="J8" i="1"/>
  <c r="I9" i="1"/>
  <c r="J9" i="1"/>
  <c r="I10" i="1"/>
  <c r="J10" i="1"/>
  <c r="I11" i="1"/>
  <c r="J11" i="1"/>
  <c r="I12" i="1"/>
  <c r="J12" i="1"/>
  <c r="J17" i="1"/>
  <c r="F17" i="1"/>
</calcChain>
</file>

<file path=xl/sharedStrings.xml><?xml version="1.0" encoding="utf-8"?>
<sst xmlns="http://schemas.openxmlformats.org/spreadsheetml/2006/main" count="833" uniqueCount="360">
  <si>
    <t>Policastro et al</t>
  </si>
  <si>
    <t>Supplemental Table S4</t>
  </si>
  <si>
    <t>Tab</t>
  </si>
  <si>
    <t>Description</t>
  </si>
  <si>
    <t>Reference for cost and time estimates</t>
  </si>
  <si>
    <t>Summary</t>
  </si>
  <si>
    <t>Summary of cost and time analysis of TSS mapping methods</t>
  </si>
  <si>
    <t>STRIPE-seq</t>
  </si>
  <si>
    <t>Detailed cost and time analysis of STRIPE-seq</t>
  </si>
  <si>
    <t>SLIC-CAGE</t>
  </si>
  <si>
    <t>Detailed cost and time analysis of SLIC-CAGE</t>
  </si>
  <si>
    <t>PMID 31305534</t>
  </si>
  <si>
    <t>nanoCAGE 2017</t>
  </si>
  <si>
    <t>Detailed cost and time analysis of nanoCAGE 2017</t>
  </si>
  <si>
    <t>PMID 28349422</t>
  </si>
  <si>
    <t>nAnT-iCAGE</t>
  </si>
  <si>
    <t>Detailed cost and time analysis of nAnT-iCAGE</t>
  </si>
  <si>
    <t>PMID 24927836</t>
  </si>
  <si>
    <t>RAMPAGE</t>
  </si>
  <si>
    <t>Detailed cost and time analysis of RAMPAGE</t>
  </si>
  <si>
    <t>PMID 24510412</t>
  </si>
  <si>
    <t>Reagent costs were calculated based on price without institutional discounts. Costs exclude common laboratory chemicals such as NaCl and NaOH, and reagents with a negligible per-sample cost were not considered in per-sample calculations. Number of steps 
and estimated timings were based on the above protocols, taking into consideration the published time estimates.</t>
  </si>
  <si>
    <t>Method</t>
  </si>
  <si>
    <t>PMID</t>
  </si>
  <si>
    <t>Year</t>
  </si>
  <si>
    <t>Minimum RNA Input (ng)</t>
  </si>
  <si>
    <t>Maximum RNA Input (ng)</t>
  </si>
  <si>
    <t>Required Steps</t>
  </si>
  <si>
    <t>Optional Steps</t>
  </si>
  <si>
    <t>Required Time (Hours)</t>
  </si>
  <si>
    <t>Time Including Optional Steps (Hours)</t>
  </si>
  <si>
    <t>Overnight Incubations (Hours)</t>
  </si>
  <si>
    <t>Startup Cost</t>
  </si>
  <si>
    <t>Required Cost Per Sample</t>
  </si>
  <si>
    <t>Cost Per Sample Including Additional Steps</t>
  </si>
  <si>
    <t>Additional Cost After Pooling</t>
  </si>
  <si>
    <t>Kit</t>
  </si>
  <si>
    <t>Kit Per-sample Cost</t>
  </si>
  <si>
    <t>NA</t>
  </si>
  <si>
    <t>https://cage-seq.com/cage_kit/</t>
  </si>
  <si>
    <t>nanoCAGE</t>
  </si>
  <si>
    <t>Reagent</t>
  </si>
  <si>
    <t>Vendor</t>
  </si>
  <si>
    <t>Product Number</t>
  </si>
  <si>
    <t>Vendor Amount</t>
  </si>
  <si>
    <t>Stock Concentration</t>
  </si>
  <si>
    <t>Vendor Price</t>
  </si>
  <si>
    <t>Date of Price</t>
  </si>
  <si>
    <t>Amount Used</t>
  </si>
  <si>
    <t>Fraction of Stock</t>
  </si>
  <si>
    <t>Cost Per Sample</t>
  </si>
  <si>
    <t>Terminator 5´-Phosphate-Dependent Exonuclease</t>
  </si>
  <si>
    <t>Lucigen</t>
  </si>
  <si>
    <t>TER51020</t>
  </si>
  <si>
    <t>40 ul</t>
  </si>
  <si>
    <t>1 U/ul</t>
  </si>
  <si>
    <t>0.2 ul</t>
  </si>
  <si>
    <t>D-Sorbitol</t>
  </si>
  <si>
    <t>DOT Scientific</t>
  </si>
  <si>
    <t>DSS23080-500</t>
  </si>
  <si>
    <t>500 g</t>
  </si>
  <si>
    <t>D-(+)-Trehalose Dihydrate</t>
  </si>
  <si>
    <t>MP Biomedicals</t>
  </si>
  <si>
    <t>MP210309710</t>
  </si>
  <si>
    <t>10 g</t>
  </si>
  <si>
    <t>SuperScript II Reverse Transcriptase</t>
  </si>
  <si>
    <t>Invitrogen</t>
  </si>
  <si>
    <t>50 ul</t>
  </si>
  <si>
    <t>200 U/ul</t>
  </si>
  <si>
    <t>0.5 ul</t>
  </si>
  <si>
    <t>DNTP, 10 mM each</t>
  </si>
  <si>
    <t>GenScript</t>
  </si>
  <si>
    <t>C01582-1ML</t>
  </si>
  <si>
    <t>1 ml</t>
  </si>
  <si>
    <t>10 mM ea</t>
  </si>
  <si>
    <t>Betain 5 M</t>
  </si>
  <si>
    <t>Sigma-Aldrich</t>
  </si>
  <si>
    <t>B0300-1VL</t>
  </si>
  <si>
    <t>1.5 ml</t>
  </si>
  <si>
    <t>5 M</t>
  </si>
  <si>
    <t>2 ul</t>
  </si>
  <si>
    <t>Agencourt RNAClean XP Kit, 40 mL</t>
  </si>
  <si>
    <t>Beckman Coulter</t>
  </si>
  <si>
    <t>A63987</t>
  </si>
  <si>
    <t>40 ml</t>
  </si>
  <si>
    <t>54.6 ul</t>
  </si>
  <si>
    <t>HiFi HotStart DNA Polymerase, Kapa Biosystems</t>
  </si>
  <si>
    <t>VWR</t>
  </si>
  <si>
    <t>KK2601</t>
  </si>
  <si>
    <t>1.25 ml</t>
  </si>
  <si>
    <t>2X</t>
  </si>
  <si>
    <t>12.5 ul</t>
  </si>
  <si>
    <t>High Sensitivity D5000 Screen Tape</t>
  </si>
  <si>
    <t>Agilent</t>
  </si>
  <si>
    <t>5067-5592</t>
  </si>
  <si>
    <t>112 samples</t>
  </si>
  <si>
    <t>1 sample</t>
  </si>
  <si>
    <t>High Sensitivty D5000 Reagents</t>
  </si>
  <si>
    <t>5067-5593</t>
  </si>
  <si>
    <t>RTO</t>
  </si>
  <si>
    <t>IDT</t>
  </si>
  <si>
    <t>TSO</t>
  </si>
  <si>
    <t>FLO</t>
  </si>
  <si>
    <t>RLO</t>
  </si>
  <si>
    <t>Step Number</t>
  </si>
  <si>
    <t>Major Step</t>
  </si>
  <si>
    <t>Hours</t>
  </si>
  <si>
    <t>TEX Digestion</t>
  </si>
  <si>
    <t>RT</t>
  </si>
  <si>
    <t>SPRI Cleanup</t>
  </si>
  <si>
    <t>PCR</t>
  </si>
  <si>
    <t>SPRI Size Selection</t>
  </si>
  <si>
    <t>Tapestation</t>
  </si>
  <si>
    <t>Total Hours</t>
  </si>
  <si>
    <t>PMID: 31305534</t>
  </si>
  <si>
    <t>Agencourt AMPure XP Kit</t>
  </si>
  <si>
    <t>A63881</t>
  </si>
  <si>
    <t>60 ml</t>
  </si>
  <si>
    <t>739.8 ul</t>
  </si>
  <si>
    <t>Agencourt RNAClean XP Kit</t>
  </si>
  <si>
    <t>176.4 ul</t>
  </si>
  <si>
    <t>High Sensitivity D1000 Screen Tape</t>
  </si>
  <si>
    <t>5067-5584</t>
  </si>
  <si>
    <t>2 samples</t>
  </si>
  <si>
    <t>High Sensitivty D1000 Reagents</t>
  </si>
  <si>
    <t>5067-5585</t>
  </si>
  <si>
    <t>Biotin (Long Arm) Hydrazide</t>
  </si>
  <si>
    <t>Vector Laboratories</t>
  </si>
  <si>
    <t>SP-1100</t>
  </si>
  <si>
    <t>50 mg</t>
  </si>
  <si>
    <t>17 mg</t>
  </si>
  <si>
    <t>Deep Vent (exo-) DNA Polymerase</t>
  </si>
  <si>
    <t>NEB</t>
  </si>
  <si>
    <t>M0259S</t>
  </si>
  <si>
    <t>10 ul</t>
  </si>
  <si>
    <t>2000 U/ml</t>
  </si>
  <si>
    <t>1 ul</t>
  </si>
  <si>
    <t>DNA Ligation Kit, Mighty Mix</t>
  </si>
  <si>
    <t>Takara</t>
  </si>
  <si>
    <t>100 Rxns</t>
  </si>
  <si>
    <t>dNTP Mix (10 mM ea)</t>
  </si>
  <si>
    <t>100 ul</t>
  </si>
  <si>
    <t>10 mM</t>
  </si>
  <si>
    <t>Dynabeads M-270 Streptavidin</t>
  </si>
  <si>
    <t>2 ml</t>
  </si>
  <si>
    <t>10 mg/ml</t>
  </si>
  <si>
    <t>30 ul</t>
  </si>
  <si>
    <t>Exonuclease I (E. coli)</t>
  </si>
  <si>
    <t>M0293S</t>
  </si>
  <si>
    <t>150 ul</t>
  </si>
  <si>
    <t>20000 U/ml</t>
  </si>
  <si>
    <t>HiScribe T7 High Yield RNA Synthesis Kit</t>
  </si>
  <si>
    <t>E2040S</t>
  </si>
  <si>
    <t>50 Rxns</t>
  </si>
  <si>
    <t>I-CeuI</t>
  </si>
  <si>
    <t>R0699S</t>
  </si>
  <si>
    <t>5000 U/ml</t>
  </si>
  <si>
    <t>I-SceI</t>
  </si>
  <si>
    <t>R0694S</t>
  </si>
  <si>
    <t>KK2602</t>
  </si>
  <si>
    <t>25 ul</t>
  </si>
  <si>
    <t>KAPA SYBR FAST qPCR Master Mix (2X)</t>
  </si>
  <si>
    <t>Roche</t>
  </si>
  <si>
    <t>KK4600</t>
  </si>
  <si>
    <t>Thermo Scientific Phusion High-Fidelity DNA Polymerase</t>
  </si>
  <si>
    <t>Thermo Scientific</t>
  </si>
  <si>
    <t>F530S</t>
  </si>
  <si>
    <t>2 U/ml</t>
  </si>
  <si>
    <t>QIAquick Gel Extraction Kit (50)</t>
  </si>
  <si>
    <t>QIAGEN</t>
  </si>
  <si>
    <t>Quant-it PicoGreen dsDNA Assay Kit</t>
  </si>
  <si>
    <t>P7589</t>
  </si>
  <si>
    <t>200X</t>
  </si>
  <si>
    <t>5 ul</t>
  </si>
  <si>
    <t>Ribonuclease H (RNase H)</t>
  </si>
  <si>
    <t>2150A</t>
  </si>
  <si>
    <t>16.5 ul</t>
  </si>
  <si>
    <t>60 U/ml</t>
  </si>
  <si>
    <t>0.1 ul</t>
  </si>
  <si>
    <t>RNase ONE Ribonuclease</t>
  </si>
  <si>
    <t>Promega</t>
  </si>
  <si>
    <t>M4261</t>
  </si>
  <si>
    <t>200 ul</t>
  </si>
  <si>
    <t>5-10 U/ml</t>
  </si>
  <si>
    <t>2.5 ul</t>
  </si>
  <si>
    <t>RNase-Free DNase Set (50)</t>
  </si>
  <si>
    <t>1500 Kunitz units</t>
  </si>
  <si>
    <t>RNeasy Mini Kit (50)</t>
  </si>
  <si>
    <t>Sodium periodate</t>
  </si>
  <si>
    <t>311448-100G</t>
  </si>
  <si>
    <t>100 g</t>
  </si>
  <si>
    <t>SuperScript III Reverse Transcriptase</t>
  </si>
  <si>
    <t>3.8 ul</t>
  </si>
  <si>
    <t>D(-)-Sorbitol</t>
  </si>
  <si>
    <t>Wako</t>
  </si>
  <si>
    <t>194-03752</t>
  </si>
  <si>
    <t>25 g</t>
  </si>
  <si>
    <t>D(+)-Trehalose dihydrate</t>
  </si>
  <si>
    <t>T9531-25G</t>
  </si>
  <si>
    <t>Ribonucleic acid, transfer from Escherichia coli</t>
  </si>
  <si>
    <t>R1753-500UN</t>
  </si>
  <si>
    <t>500 U</t>
  </si>
  <si>
    <t>Shrimp Alkaline Phosphatase (SAP)</t>
  </si>
  <si>
    <t>Applied Biosystems</t>
  </si>
  <si>
    <t>78390500UN</t>
  </si>
  <si>
    <t>500 ul</t>
  </si>
  <si>
    <t>USER Enzyme</t>
  </si>
  <si>
    <t>M5505S</t>
  </si>
  <si>
    <t>1000 U/ml</t>
  </si>
  <si>
    <t>Vaccinia Capping System</t>
  </si>
  <si>
    <t>M2080S</t>
  </si>
  <si>
    <t>10000 U/ml</t>
  </si>
  <si>
    <t>dGTP (100 mM)</t>
  </si>
  <si>
    <t>250 ul</t>
  </si>
  <si>
    <t>100 mM</t>
  </si>
  <si>
    <t>Proteinase K Solution (20 mg/mL), RNA grade</t>
  </si>
  <si>
    <t>5 ml</t>
  </si>
  <si>
    <t>20 mg/ml</t>
  </si>
  <si>
    <t>PCR_N6_r1</t>
  </si>
  <si>
    <t>PCR_GN5_f1</t>
  </si>
  <si>
    <t>RT primer</t>
  </si>
  <si>
    <t>5ʹnAnT-iCAGE_01 N6</t>
  </si>
  <si>
    <t>5ʹnAnT-iCAGE_01 GN5</t>
  </si>
  <si>
    <t>5ʹnAnT-iCAGE_01 Dwn</t>
  </si>
  <si>
    <t>3ʹnAnT-iCAGE N3 + AGA Up</t>
  </si>
  <si>
    <t>3ʹnAnT-iCAGE Dwn</t>
  </si>
  <si>
    <t>nAnT-iCAGE 2nd primer</t>
  </si>
  <si>
    <t>Carrier PCR</t>
  </si>
  <si>
    <t>Carrier Gel Purification</t>
  </si>
  <si>
    <r>
      <t xml:space="preserve">Carrier </t>
    </r>
    <r>
      <rPr>
        <i/>
        <sz val="10"/>
        <rFont val="Arial"/>
      </rPr>
      <t>in vitro</t>
    </r>
    <r>
      <rPr>
        <sz val="10"/>
        <color rgb="FF000000"/>
        <rFont val="Arial"/>
      </rPr>
      <t xml:space="preserve"> Transcription</t>
    </r>
  </si>
  <si>
    <t>Column Cleanup</t>
  </si>
  <si>
    <t>Carrier Capping</t>
  </si>
  <si>
    <t>Cap Oxidation</t>
  </si>
  <si>
    <t>Cap Biotinylation</t>
  </si>
  <si>
    <t>RNase I Digestion</t>
  </si>
  <si>
    <t>Cap-trapping</t>
  </si>
  <si>
    <t>RNase H &amp; I Digestion</t>
  </si>
  <si>
    <t>5` &amp; 3` Linker Ligation</t>
  </si>
  <si>
    <t>16 overnight</t>
  </si>
  <si>
    <t>Dephosphorylation</t>
  </si>
  <si>
    <t>3` Linker Degredation</t>
  </si>
  <si>
    <t>Second Strand Synthesis</t>
  </si>
  <si>
    <t>Primer Degredation</t>
  </si>
  <si>
    <t>Carrier Degredation</t>
  </si>
  <si>
    <t>qPCR</t>
  </si>
  <si>
    <t>PCR Amplification</t>
  </si>
  <si>
    <t>PicoGreen</t>
  </si>
  <si>
    <t>total hours</t>
  </si>
  <si>
    <t>PMID: 28349422</t>
  </si>
  <si>
    <t>Notes</t>
  </si>
  <si>
    <t>Agencourt AMPure XP</t>
  </si>
  <si>
    <t>A63880</t>
  </si>
  <si>
    <t>98 ul</t>
  </si>
  <si>
    <t>Pre-pool</t>
  </si>
  <si>
    <t>1.5 ul</t>
  </si>
  <si>
    <t>dNTP Mix (2.5 mM)</t>
  </si>
  <si>
    <t>AM8228G</t>
  </si>
  <si>
    <t>300 ul</t>
  </si>
  <si>
    <t>2.5 mM</t>
  </si>
  <si>
    <t>TB Green Premix Ex Taq (Tli RNase H Plus)</t>
  </si>
  <si>
    <t>RR420A</t>
  </si>
  <si>
    <t>1 ml x 5</t>
  </si>
  <si>
    <t>Nextera XT DNA Library Preparation Kit</t>
  </si>
  <si>
    <t>Illumina</t>
  </si>
  <si>
    <t>FC-131-1024</t>
  </si>
  <si>
    <t>24 samples</t>
  </si>
  <si>
    <t>Buffer EB</t>
  </si>
  <si>
    <t>250 ml</t>
  </si>
  <si>
    <t>Agilent High Sensitivity DNA Kit</t>
  </si>
  <si>
    <t>5067-4626</t>
  </si>
  <si>
    <t>110 samples</t>
  </si>
  <si>
    <t>Pre-pool (one after pooling also)</t>
  </si>
  <si>
    <t>Template Switching Oligonucleotide</t>
  </si>
  <si>
    <t>Reverse Transcription Random primer</t>
  </si>
  <si>
    <t>cDNA PCR primer, Forward</t>
  </si>
  <si>
    <t>cDNA PCR primer, Reverse</t>
  </si>
  <si>
    <t>nanoCAGE custom S-series primer</t>
  </si>
  <si>
    <t>nanoCAGE Sequencing primer, Read 1</t>
  </si>
  <si>
    <t>startup cost</t>
  </si>
  <si>
    <t>Required Cost Per Sample (Pre-pooled)</t>
  </si>
  <si>
    <t>Cost Per Sample
Including Optional
Steps
(Pre-pooled)</t>
  </si>
  <si>
    <t>Addional Cost After Pooling</t>
  </si>
  <si>
    <t>Time</t>
  </si>
  <si>
    <t>Optional TEX Treatment</t>
  </si>
  <si>
    <t>Second Strand PCR</t>
  </si>
  <si>
    <t>PicoGreen &amp; Pool</t>
  </si>
  <si>
    <t>Optional Bioanalyzer</t>
  </si>
  <si>
    <t>Tagmentation &amp; PCR</t>
  </si>
  <si>
    <t>Bioanalyzer</t>
  </si>
  <si>
    <t>Optional PicoGreen</t>
  </si>
  <si>
    <t>Total Required</t>
  </si>
  <si>
    <t>Total With Optional</t>
  </si>
  <si>
    <t>PMID: 24927836</t>
  </si>
  <si>
    <t>446.4 ul</t>
  </si>
  <si>
    <t>284.4 ul</t>
  </si>
  <si>
    <t>Quant-iT OliGreen ssDNA Assay Kit</t>
  </si>
  <si>
    <t>O11492</t>
  </si>
  <si>
    <t>SYBR Green I Nucleic Acid Gel Stain</t>
  </si>
  <si>
    <t>S7563</t>
  </si>
  <si>
    <t>10000X</t>
  </si>
  <si>
    <t>21 ul</t>
  </si>
  <si>
    <t>ROX Reference Dye</t>
  </si>
  <si>
    <t>0.84 ul</t>
  </si>
  <si>
    <t>Ribonuclease H</t>
  </si>
  <si>
    <t>60 ul</t>
  </si>
  <si>
    <t>2 U/ul</t>
  </si>
  <si>
    <t>3 ul</t>
  </si>
  <si>
    <t>15 ul</t>
  </si>
  <si>
    <t>HotStarTaq DNA Polymerase (1000 U)</t>
  </si>
  <si>
    <t>5 U/ul</t>
  </si>
  <si>
    <t>0.38 ul</t>
  </si>
  <si>
    <t>Deoxynucleoside Triphosphate Set</t>
  </si>
  <si>
    <t>Millipore Sigma</t>
  </si>
  <si>
    <t>4 x 1250 ul</t>
  </si>
  <si>
    <t>RQ1 RNase-Free DNase</t>
  </si>
  <si>
    <t>M6101</t>
  </si>
  <si>
    <t>1000 ul</t>
  </si>
  <si>
    <t>100 mer Oligreen standard oligo</t>
  </si>
  <si>
    <t>ACTB 5′ Fwd (human)</t>
  </si>
  <si>
    <t>ACTB 5′ Rev (human)</t>
  </si>
  <si>
    <t>18S rRNA 5′ Fwd (human)</t>
  </si>
  <si>
    <t>18S rRNA 5′ Rev (human)</t>
  </si>
  <si>
    <t>5′nAnT-iCAGE_01 N6</t>
  </si>
  <si>
    <t>5′nAnT-iCAGE_01 GN5</t>
  </si>
  <si>
    <t>5′nAnT-iCAGE_01 Dwn</t>
  </si>
  <si>
    <t>3′nAnT-iCAGE N3 + AGA Up</t>
  </si>
  <si>
    <t>3′nAnT-iCAGE Dwn</t>
  </si>
  <si>
    <t>Cost Per Sample Including Optional Steps</t>
  </si>
  <si>
    <t>OliGreen ssDNA</t>
  </si>
  <si>
    <t>SAP &amp; USER Treatment</t>
  </si>
  <si>
    <t>PMID: 24510412</t>
  </si>
  <si>
    <t>4 x 50 ul</t>
  </si>
  <si>
    <t>4 ul</t>
  </si>
  <si>
    <t>9.9 ul</t>
  </si>
  <si>
    <t>5.6 ul</t>
  </si>
  <si>
    <t>Power SYBR Green PCR Master Mix</t>
  </si>
  <si>
    <t>361 ul</t>
  </si>
  <si>
    <t>~ 100 ul Pre-pool</t>
  </si>
  <si>
    <t>262 ul</t>
  </si>
  <si>
    <t>311448-5G</t>
  </si>
  <si>
    <t>5 g</t>
  </si>
  <si>
    <t>4.2 mg</t>
  </si>
  <si>
    <t>Trisodium citrate dihydrate</t>
  </si>
  <si>
    <t>S1804-500G</t>
  </si>
  <si>
    <t>1000 U</t>
  </si>
  <si>
    <t>5-10 U/ul</t>
  </si>
  <si>
    <t>MPG Streptavidin</t>
  </si>
  <si>
    <t>PureBiotech</t>
  </si>
  <si>
    <t>MSTR0502</t>
  </si>
  <si>
    <t>TaKaRa Ex Taq DNA Polymerase Hot-Start Version</t>
  </si>
  <si>
    <t>RR006A</t>
  </si>
  <si>
    <t>rampage_TS_**</t>
  </si>
  <si>
    <t>rampage_RT</t>
  </si>
  <si>
    <t>rampage_F</t>
  </si>
  <si>
    <t>rampage_R</t>
  </si>
  <si>
    <t>rampage_r1</t>
  </si>
  <si>
    <t>Cost Per Sample
(Pre-pooled)</t>
  </si>
  <si>
    <t>TEX Treatment</t>
  </si>
  <si>
    <t>qPCR &amp; Pooling</t>
  </si>
  <si>
    <t>15 overnight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</si>
</sst>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-dd\-yyyy"/>
    <numFmt numFmtId="165" formatCode="0.0000"/>
  </numFmts>
  <fonts count="7">
    <font>
      <sz val="10"/>
      <color rgb="FF000000"/>
      <name val="Arial"/>
    </font>
    <font>
      <b/>
      <sz val="10"/>
      <name val="Arial"/>
    </font>
    <font>
      <sz val="10"/>
      <name val="Arial"/>
    </font>
    <font>
      <sz val="10"/>
      <color rgb="FF000000"/>
      <name val="Arial"/>
    </font>
    <font>
      <i/>
      <sz val="10"/>
      <name val="Arial"/>
    </font>
    <font>
      <b/>
      <sz val="10"/>
      <color rgb="FF000000"/>
      <name val="Arial"/>
    </font>
    <font>
      <u/>
      <sz val="10"/>
      <color theme="1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/>
    <xf numFmtId="0" fontId="2" fillId="0" borderId="0" xfId="0" applyFont="1" applyAlignment="1">
      <alignment horizontal="right" vertical="center" wrapText="1"/>
    </xf>
    <xf numFmtId="2" fontId="2" fillId="0" borderId="0" xfId="0" applyNumberFormat="1" applyFont="1" applyAlignment="1">
      <alignment horizontal="right" vertical="center" wrapText="1"/>
    </xf>
    <xf numFmtId="165" fontId="2" fillId="0" borderId="0" xfId="0" applyNumberFormat="1" applyFont="1" applyAlignment="1"/>
    <xf numFmtId="165" fontId="2" fillId="0" borderId="0" xfId="0" applyNumberFormat="1" applyFont="1"/>
    <xf numFmtId="2" fontId="2" fillId="0" borderId="0" xfId="0" applyNumberFormat="1" applyFont="1"/>
    <xf numFmtId="2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/>
    <xf numFmtId="0" fontId="2" fillId="0" borderId="0" xfId="0" applyFont="1" applyAlignment="1">
      <alignment wrapText="1"/>
    </xf>
    <xf numFmtId="0" fontId="3" fillId="2" borderId="0" xfId="0" applyFont="1" applyFill="1" applyAlignment="1">
      <alignment horizontal="left" wrapText="1"/>
    </xf>
    <xf numFmtId="0" fontId="0" fillId="0" borderId="0" xfId="0"/>
    <xf numFmtId="0" fontId="5" fillId="0" borderId="0" xfId="0" applyFont="1" applyAlignme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wrapText="1"/>
    </xf>
  </cellXfs>
  <cellStyles count="5">
    <cellStyle name="Followed Hyperlink" xfId="3" builtinId="9" hidden="1"/>
    <cellStyle name="Followed Hyperlink" xfId="4" builtinId="9" hidden="1"/>
    <cellStyle name="Followed Hyperlink" xfId="2" builtinId="9" hidden="1"/>
    <cellStyle name="Followed Hyperlink" xfId="1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cage-seq.com/cage_kit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hermofisher.com/order/catalog/product/18021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tabSelected="1" zoomScale="125" zoomScaleNormal="125" zoomScalePageLayoutView="125" workbookViewId="0"/>
  </sheetViews>
  <sheetFormatPr defaultColWidth="11.42578125" defaultRowHeight="12"/>
  <cols>
    <col min="1" max="1" width="19.42578125" bestFit="1" customWidth="1"/>
    <col min="2" max="2" width="47.140625" bestFit="1" customWidth="1"/>
    <col min="3" max="3" width="31.42578125" bestFit="1" customWidth="1"/>
  </cols>
  <sheetData>
    <row r="1" spans="1:3">
      <c r="A1" s="18" t="s">
        <v>0</v>
      </c>
    </row>
    <row r="2" spans="1:3">
      <c r="A2" s="18" t="s">
        <v>1</v>
      </c>
    </row>
    <row r="4" spans="1:3">
      <c r="A4" s="18" t="s">
        <v>2</v>
      </c>
      <c r="B4" s="18" t="s">
        <v>3</v>
      </c>
      <c r="C4" s="18" t="s">
        <v>4</v>
      </c>
    </row>
    <row r="5" spans="1:3">
      <c r="A5" t="s">
        <v>5</v>
      </c>
      <c r="B5" t="s">
        <v>6</v>
      </c>
    </row>
    <row r="6" spans="1:3">
      <c r="A6" t="s">
        <v>7</v>
      </c>
      <c r="B6" t="s">
        <v>8</v>
      </c>
    </row>
    <row r="7" spans="1:3">
      <c r="A7" t="s">
        <v>9</v>
      </c>
      <c r="B7" t="s">
        <v>10</v>
      </c>
      <c r="C7" t="s">
        <v>11</v>
      </c>
    </row>
    <row r="8" spans="1:3">
      <c r="A8" t="s">
        <v>12</v>
      </c>
      <c r="B8" t="s">
        <v>13</v>
      </c>
      <c r="C8" t="s">
        <v>14</v>
      </c>
    </row>
    <row r="9" spans="1:3">
      <c r="A9" t="s">
        <v>15</v>
      </c>
      <c r="B9" t="s">
        <v>16</v>
      </c>
      <c r="C9" s="17" t="s">
        <v>17</v>
      </c>
    </row>
    <row r="10" spans="1:3">
      <c r="A10" t="s">
        <v>18</v>
      </c>
      <c r="B10" t="s">
        <v>19</v>
      </c>
      <c r="C10" s="17" t="s">
        <v>20</v>
      </c>
    </row>
    <row r="12" spans="1:3" s="19" customFormat="1" ht="38.1" customHeight="1">
      <c r="A12" s="20" t="s">
        <v>21</v>
      </c>
      <c r="B12" s="20"/>
      <c r="C12" s="20"/>
    </row>
  </sheetData>
  <mergeCells count="1">
    <mergeCell ref="A12:C1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I6"/>
  <sheetViews>
    <sheetView zoomScale="125" zoomScaleNormal="125" zoomScalePageLayoutView="125" workbookViewId="0"/>
  </sheetViews>
  <sheetFormatPr defaultColWidth="14.42578125" defaultRowHeight="15.75" customHeight="1"/>
  <cols>
    <col min="1" max="1" width="10.85546875" bestFit="1" customWidth="1"/>
    <col min="2" max="2" width="9.140625" bestFit="1" customWidth="1"/>
    <col min="3" max="3" width="5.140625" bestFit="1" customWidth="1"/>
    <col min="4" max="4" width="20.85546875" bestFit="1" customWidth="1"/>
    <col min="5" max="5" width="21.140625" bestFit="1" customWidth="1"/>
    <col min="6" max="6" width="13.42578125" bestFit="1" customWidth="1"/>
    <col min="7" max="7" width="13.140625" bestFit="1" customWidth="1"/>
    <col min="8" max="8" width="19.28515625" bestFit="1" customWidth="1"/>
    <col min="9" max="9" width="31.85546875" bestFit="1" customWidth="1"/>
    <col min="10" max="10" width="25.42578125" bestFit="1" customWidth="1"/>
    <col min="11" max="11" width="11.28515625" bestFit="1" customWidth="1"/>
    <col min="12" max="12" width="22.28515625" bestFit="1" customWidth="1"/>
    <col min="13" max="13" width="36.140625" bestFit="1" customWidth="1"/>
    <col min="14" max="14" width="24.7109375" bestFit="1" customWidth="1"/>
    <col min="15" max="15" width="24" bestFit="1" customWidth="1"/>
    <col min="16" max="16" width="17.140625" bestFit="1" customWidth="1"/>
  </cols>
  <sheetData>
    <row r="1" spans="1:35" ht="15.75" customHeight="1">
      <c r="A1" s="1" t="s">
        <v>22</v>
      </c>
      <c r="B1" s="1" t="s">
        <v>23</v>
      </c>
      <c r="C1" s="1" t="s">
        <v>24</v>
      </c>
      <c r="D1" s="1" t="s">
        <v>25</v>
      </c>
      <c r="E1" s="1" t="s">
        <v>26</v>
      </c>
      <c r="F1" s="1" t="s">
        <v>27</v>
      </c>
      <c r="G1" s="1" t="s">
        <v>28</v>
      </c>
      <c r="H1" s="1" t="s">
        <v>29</v>
      </c>
      <c r="I1" s="1" t="s">
        <v>30</v>
      </c>
      <c r="J1" s="1" t="s">
        <v>31</v>
      </c>
      <c r="K1" s="1" t="s">
        <v>32</v>
      </c>
      <c r="L1" s="1" t="s">
        <v>33</v>
      </c>
      <c r="M1" s="1" t="s">
        <v>34</v>
      </c>
      <c r="N1" s="1" t="s">
        <v>35</v>
      </c>
      <c r="O1" s="1" t="s">
        <v>36</v>
      </c>
      <c r="P1" s="1" t="s">
        <v>37</v>
      </c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</row>
    <row r="2" spans="1:35" ht="15.75" customHeight="1">
      <c r="A2" s="17" t="s">
        <v>18</v>
      </c>
      <c r="B2" s="17">
        <v>24510412</v>
      </c>
      <c r="C2" s="17">
        <v>2013</v>
      </c>
      <c r="D2" s="2">
        <v>5000</v>
      </c>
      <c r="E2" s="2">
        <v>5000</v>
      </c>
      <c r="F2" s="4">
        <v>12</v>
      </c>
      <c r="G2" s="2" t="s">
        <v>38</v>
      </c>
      <c r="H2" s="2">
        <v>13.5</v>
      </c>
      <c r="I2" s="2" t="s">
        <v>38</v>
      </c>
      <c r="J2" s="2">
        <v>15</v>
      </c>
      <c r="K2" s="2">
        <v>5844</v>
      </c>
      <c r="L2" s="5">
        <v>55.4</v>
      </c>
      <c r="M2" s="5" t="s">
        <v>38</v>
      </c>
      <c r="N2" s="4">
        <v>48.79</v>
      </c>
      <c r="O2" s="11" t="s">
        <v>38</v>
      </c>
      <c r="P2" s="11" t="s">
        <v>38</v>
      </c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1:35" ht="15.75" customHeight="1">
      <c r="A3" s="17" t="s">
        <v>15</v>
      </c>
      <c r="B3" s="17">
        <v>24927836</v>
      </c>
      <c r="C3" s="17">
        <v>2014</v>
      </c>
      <c r="D3" s="11">
        <v>5000</v>
      </c>
      <c r="E3" s="11">
        <v>5000</v>
      </c>
      <c r="F3" s="4">
        <v>22</v>
      </c>
      <c r="G3" s="2">
        <v>1</v>
      </c>
      <c r="H3" s="2">
        <v>18.75</v>
      </c>
      <c r="I3" s="2">
        <v>21.75</v>
      </c>
      <c r="J3" s="11">
        <v>16</v>
      </c>
      <c r="K3" s="11">
        <v>9071</v>
      </c>
      <c r="L3" s="9">
        <v>105.1</v>
      </c>
      <c r="M3" s="9">
        <v>119.81</v>
      </c>
      <c r="N3" s="10" t="s">
        <v>38</v>
      </c>
      <c r="O3" s="11" t="s">
        <v>39</v>
      </c>
      <c r="P3" s="2">
        <v>225</v>
      </c>
    </row>
    <row r="4" spans="1:35" ht="15.75" customHeight="1">
      <c r="A4" s="17" t="s">
        <v>40</v>
      </c>
      <c r="B4" s="17">
        <v>28349422</v>
      </c>
      <c r="C4" s="17">
        <v>2017</v>
      </c>
      <c r="D4" s="2">
        <v>50</v>
      </c>
      <c r="E4" s="2">
        <v>500</v>
      </c>
      <c r="F4" s="4">
        <v>9</v>
      </c>
      <c r="G4" s="2">
        <v>3</v>
      </c>
      <c r="H4" s="2">
        <v>12.5</v>
      </c>
      <c r="I4" s="2">
        <v>15</v>
      </c>
      <c r="J4" s="2" t="s">
        <v>38</v>
      </c>
      <c r="K4" s="2">
        <v>3732</v>
      </c>
      <c r="L4" s="5">
        <v>18.690000000000001</v>
      </c>
      <c r="M4" s="5">
        <v>29.28</v>
      </c>
      <c r="N4" s="4">
        <v>37.82</v>
      </c>
      <c r="O4" s="2" t="s">
        <v>38</v>
      </c>
      <c r="P4" s="2" t="s">
        <v>38</v>
      </c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</row>
    <row r="5" spans="1:35" ht="15.75" customHeight="1">
      <c r="A5" s="17" t="s">
        <v>9</v>
      </c>
      <c r="B5" s="17">
        <v>31305534</v>
      </c>
      <c r="C5" s="17">
        <v>2019</v>
      </c>
      <c r="D5" s="2">
        <v>1</v>
      </c>
      <c r="E5" s="2">
        <v>100</v>
      </c>
      <c r="F5" s="10">
        <v>33</v>
      </c>
      <c r="G5" s="2" t="s">
        <v>38</v>
      </c>
      <c r="H5" s="2">
        <v>36</v>
      </c>
      <c r="I5" s="2" t="s">
        <v>38</v>
      </c>
      <c r="J5" s="2">
        <v>16</v>
      </c>
      <c r="K5" s="2">
        <v>7340</v>
      </c>
      <c r="L5" s="5">
        <v>113.84</v>
      </c>
      <c r="M5" s="5" t="s">
        <v>38</v>
      </c>
      <c r="N5" s="4" t="s">
        <v>38</v>
      </c>
      <c r="O5" s="2" t="s">
        <v>38</v>
      </c>
      <c r="P5" s="2" t="s">
        <v>38</v>
      </c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</row>
    <row r="6" spans="1:35" ht="15.75" customHeight="1">
      <c r="A6" s="17" t="s">
        <v>7</v>
      </c>
      <c r="B6" s="17" t="s">
        <v>38</v>
      </c>
      <c r="C6" s="17">
        <v>2020</v>
      </c>
      <c r="D6" s="11">
        <v>50</v>
      </c>
      <c r="E6" s="11">
        <v>200</v>
      </c>
      <c r="F6" s="11">
        <v>6</v>
      </c>
      <c r="G6" s="2" t="s">
        <v>38</v>
      </c>
      <c r="H6" s="2">
        <v>5</v>
      </c>
      <c r="I6" s="2" t="s">
        <v>38</v>
      </c>
      <c r="J6" s="11" t="s">
        <v>38</v>
      </c>
      <c r="K6" s="11">
        <v>2294</v>
      </c>
      <c r="L6" s="9">
        <v>11.76</v>
      </c>
      <c r="M6" s="9" t="s">
        <v>38</v>
      </c>
      <c r="N6" s="10" t="s">
        <v>38</v>
      </c>
      <c r="O6" s="11" t="s">
        <v>38</v>
      </c>
      <c r="P6" s="11" t="s">
        <v>38</v>
      </c>
    </row>
  </sheetData>
  <hyperlinks>
    <hyperlink ref="O3" r:id="rId1" xr:uid="{00000000-0004-0000-0100-000000000000}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:U26"/>
  <sheetViews>
    <sheetView zoomScale="125" zoomScaleNormal="125" zoomScalePageLayoutView="125" workbookViewId="0"/>
  </sheetViews>
  <sheetFormatPr defaultColWidth="14.42578125" defaultRowHeight="15.75" customHeight="1"/>
  <cols>
    <col min="1" max="1" width="45.140625" customWidth="1"/>
    <col min="2" max="2" width="16.85546875" customWidth="1"/>
    <col min="9" max="9" width="16.28515625" customWidth="1"/>
  </cols>
  <sheetData>
    <row r="2" spans="1:21" ht="15.75" customHeight="1">
      <c r="A2" s="1" t="s">
        <v>41</v>
      </c>
      <c r="B2" s="1" t="s">
        <v>42</v>
      </c>
      <c r="C2" s="1" t="s">
        <v>43</v>
      </c>
      <c r="D2" s="1" t="s">
        <v>44</v>
      </c>
      <c r="E2" s="1" t="s">
        <v>45</v>
      </c>
      <c r="F2" s="1" t="s">
        <v>46</v>
      </c>
      <c r="G2" s="1" t="s">
        <v>47</v>
      </c>
      <c r="H2" s="1" t="s">
        <v>48</v>
      </c>
      <c r="I2" s="1" t="s">
        <v>49</v>
      </c>
      <c r="J2" s="1" t="s">
        <v>50</v>
      </c>
    </row>
    <row r="3" spans="1:21" ht="15.75" customHeight="1">
      <c r="A3" s="17" t="s">
        <v>51</v>
      </c>
      <c r="B3" s="17" t="s">
        <v>52</v>
      </c>
      <c r="C3" s="17" t="s">
        <v>53</v>
      </c>
      <c r="D3" s="13" t="s">
        <v>54</v>
      </c>
      <c r="E3" s="13" t="s">
        <v>55</v>
      </c>
      <c r="F3" s="13">
        <v>218</v>
      </c>
      <c r="G3" s="3">
        <v>43836</v>
      </c>
      <c r="H3" s="13" t="s">
        <v>56</v>
      </c>
      <c r="I3" s="7">
        <f>0.2/40</f>
        <v>5.0000000000000001E-3</v>
      </c>
      <c r="J3" s="8">
        <f>F3*I3</f>
        <v>1.0900000000000001</v>
      </c>
    </row>
    <row r="4" spans="1:21" ht="15.75" customHeight="1">
      <c r="A4" s="17" t="s">
        <v>57</v>
      </c>
      <c r="B4" s="17" t="s">
        <v>58</v>
      </c>
      <c r="C4" s="17" t="s">
        <v>59</v>
      </c>
      <c r="D4" s="13" t="s">
        <v>60</v>
      </c>
      <c r="F4" s="13">
        <v>18</v>
      </c>
      <c r="G4" s="3">
        <v>43837</v>
      </c>
      <c r="I4" s="7"/>
      <c r="J4" s="8"/>
    </row>
    <row r="5" spans="1:21" ht="15.75" customHeight="1">
      <c r="A5" s="17" t="s">
        <v>61</v>
      </c>
      <c r="B5" s="17" t="s">
        <v>62</v>
      </c>
      <c r="C5" s="17" t="s">
        <v>63</v>
      </c>
      <c r="D5" s="13" t="s">
        <v>64</v>
      </c>
      <c r="F5" s="13">
        <v>24</v>
      </c>
      <c r="G5" s="3">
        <v>43836</v>
      </c>
      <c r="I5" s="7"/>
      <c r="J5" s="8"/>
    </row>
    <row r="6" spans="1:21" ht="15.75" customHeight="1">
      <c r="A6" s="17" t="s">
        <v>65</v>
      </c>
      <c r="B6" s="17" t="s">
        <v>66</v>
      </c>
      <c r="C6" s="17">
        <v>18064014</v>
      </c>
      <c r="D6" s="13" t="s">
        <v>67</v>
      </c>
      <c r="E6" s="13" t="s">
        <v>68</v>
      </c>
      <c r="F6" s="13">
        <v>364</v>
      </c>
      <c r="G6" s="3">
        <v>43836</v>
      </c>
      <c r="H6" s="13" t="s">
        <v>69</v>
      </c>
      <c r="I6" s="7">
        <f>0.5/50</f>
        <v>0.01</v>
      </c>
      <c r="J6" s="8">
        <f t="shared" ref="J6:J12" si="0">F6*I6</f>
        <v>3.64</v>
      </c>
    </row>
    <row r="7" spans="1:21" ht="15.75" customHeight="1">
      <c r="A7" s="14" t="s">
        <v>70</v>
      </c>
      <c r="B7" s="13" t="s">
        <v>71</v>
      </c>
      <c r="C7" s="14" t="s">
        <v>72</v>
      </c>
      <c r="D7" s="13" t="s">
        <v>73</v>
      </c>
      <c r="E7" s="13" t="s">
        <v>74</v>
      </c>
      <c r="F7" s="13">
        <v>62</v>
      </c>
      <c r="G7" s="3">
        <v>43836</v>
      </c>
      <c r="H7" s="13" t="s">
        <v>69</v>
      </c>
      <c r="I7" s="7">
        <f>0.5/1000</f>
        <v>5.0000000000000001E-4</v>
      </c>
      <c r="J7" s="8">
        <f t="shared" si="0"/>
        <v>3.1E-2</v>
      </c>
    </row>
    <row r="8" spans="1:21" ht="15.75" customHeight="1">
      <c r="A8" s="13" t="s">
        <v>75</v>
      </c>
      <c r="B8" s="13" t="s">
        <v>76</v>
      </c>
      <c r="C8" s="14" t="s">
        <v>77</v>
      </c>
      <c r="D8" s="13" t="s">
        <v>78</v>
      </c>
      <c r="E8" s="13" t="s">
        <v>79</v>
      </c>
      <c r="F8" s="13">
        <v>26</v>
      </c>
      <c r="G8" s="3">
        <v>43836</v>
      </c>
      <c r="H8" s="13" t="s">
        <v>80</v>
      </c>
      <c r="I8" s="7">
        <f>2/1500</f>
        <v>1.3333333333333333E-3</v>
      </c>
      <c r="J8" s="8">
        <f t="shared" si="0"/>
        <v>3.4666666666666665E-2</v>
      </c>
    </row>
    <row r="9" spans="1:21" ht="15.75" customHeight="1">
      <c r="A9" s="14" t="s">
        <v>81</v>
      </c>
      <c r="B9" s="13" t="s">
        <v>82</v>
      </c>
      <c r="C9" s="14" t="s">
        <v>83</v>
      </c>
      <c r="D9" s="13" t="s">
        <v>84</v>
      </c>
      <c r="F9" s="13">
        <v>780</v>
      </c>
      <c r="G9" s="3">
        <v>43836</v>
      </c>
      <c r="H9" s="13" t="s">
        <v>85</v>
      </c>
      <c r="I9" s="7">
        <f>54.6/40000</f>
        <v>1.3650000000000001E-3</v>
      </c>
      <c r="J9" s="8">
        <f t="shared" si="0"/>
        <v>1.0647</v>
      </c>
    </row>
    <row r="10" spans="1:21" ht="15.75" customHeight="1">
      <c r="A10" s="14" t="s">
        <v>86</v>
      </c>
      <c r="B10" s="13" t="s">
        <v>87</v>
      </c>
      <c r="C10" s="13" t="s">
        <v>88</v>
      </c>
      <c r="D10" s="13" t="s">
        <v>89</v>
      </c>
      <c r="E10" s="13" t="s">
        <v>90</v>
      </c>
      <c r="F10" s="13">
        <v>157</v>
      </c>
      <c r="G10" s="3">
        <v>43836</v>
      </c>
      <c r="H10" s="13" t="s">
        <v>91</v>
      </c>
      <c r="I10" s="7">
        <f>12.5/1250</f>
        <v>0.01</v>
      </c>
      <c r="J10" s="8">
        <f t="shared" si="0"/>
        <v>1.57</v>
      </c>
    </row>
    <row r="11" spans="1:21" ht="15.75" customHeight="1">
      <c r="A11" s="13" t="s">
        <v>92</v>
      </c>
      <c r="B11" s="13" t="s">
        <v>93</v>
      </c>
      <c r="C11" s="14" t="s">
        <v>94</v>
      </c>
      <c r="D11" s="13" t="s">
        <v>95</v>
      </c>
      <c r="F11" s="13">
        <v>362</v>
      </c>
      <c r="G11" s="3">
        <v>43836</v>
      </c>
      <c r="H11" s="13" t="s">
        <v>96</v>
      </c>
      <c r="I11" s="7">
        <f t="shared" ref="I11:I12" si="1">1/112</f>
        <v>8.9285714285714281E-3</v>
      </c>
      <c r="J11" s="8">
        <f t="shared" si="0"/>
        <v>3.2321428571428568</v>
      </c>
      <c r="N11" s="3"/>
      <c r="U11" s="3"/>
    </row>
    <row r="12" spans="1:21" ht="15.75" customHeight="1">
      <c r="A12" s="13" t="s">
        <v>97</v>
      </c>
      <c r="B12" s="13" t="s">
        <v>93</v>
      </c>
      <c r="C12" s="14" t="s">
        <v>98</v>
      </c>
      <c r="D12" s="13" t="s">
        <v>95</v>
      </c>
      <c r="F12" s="13">
        <v>123</v>
      </c>
      <c r="G12" s="3">
        <v>43836</v>
      </c>
      <c r="H12" s="13" t="s">
        <v>96</v>
      </c>
      <c r="I12" s="7">
        <f t="shared" si="1"/>
        <v>8.9285714285714281E-3</v>
      </c>
      <c r="J12" s="8">
        <f t="shared" si="0"/>
        <v>1.0982142857142856</v>
      </c>
      <c r="N12" s="3"/>
      <c r="U12" s="3"/>
    </row>
    <row r="13" spans="1:21" ht="15.75" customHeight="1">
      <c r="A13" s="13" t="s">
        <v>99</v>
      </c>
      <c r="B13" s="13" t="s">
        <v>100</v>
      </c>
      <c r="F13" s="13">
        <v>41</v>
      </c>
      <c r="G13" s="3">
        <v>43836</v>
      </c>
      <c r="I13" s="7"/>
      <c r="J13" s="8"/>
    </row>
    <row r="14" spans="1:21" ht="15.75" customHeight="1">
      <c r="A14" s="13" t="s">
        <v>101</v>
      </c>
      <c r="B14" s="13" t="s">
        <v>100</v>
      </c>
      <c r="F14" s="13">
        <v>93</v>
      </c>
      <c r="G14" s="3">
        <v>43836</v>
      </c>
      <c r="I14" s="7"/>
      <c r="J14" s="8"/>
    </row>
    <row r="15" spans="1:21" ht="15.75" customHeight="1">
      <c r="A15" s="13" t="s">
        <v>102</v>
      </c>
      <c r="B15" s="13" t="s">
        <v>100</v>
      </c>
      <c r="F15" s="13">
        <v>19</v>
      </c>
      <c r="G15" s="3">
        <v>43836</v>
      </c>
      <c r="I15" s="7"/>
      <c r="J15" s="8"/>
    </row>
    <row r="16" spans="1:21" ht="15.75" customHeight="1">
      <c r="A16" s="13" t="s">
        <v>103</v>
      </c>
      <c r="B16" s="13" t="s">
        <v>100</v>
      </c>
      <c r="F16" s="13">
        <v>7</v>
      </c>
      <c r="G16" s="3">
        <v>43836</v>
      </c>
      <c r="I16" s="7"/>
      <c r="J16" s="8"/>
    </row>
    <row r="17" spans="1:10" ht="15.75" customHeight="1">
      <c r="E17" s="12" t="s">
        <v>32</v>
      </c>
      <c r="F17">
        <f>SUM(F3:F16)</f>
        <v>2294</v>
      </c>
      <c r="G17" s="3"/>
      <c r="I17" s="12" t="s">
        <v>50</v>
      </c>
      <c r="J17" s="8">
        <f>SUM(J3:J16)</f>
        <v>11.76072380952381</v>
      </c>
    </row>
    <row r="19" spans="1:10" ht="15.75" customHeight="1">
      <c r="A19" s="12" t="s">
        <v>104</v>
      </c>
      <c r="B19" s="12" t="s">
        <v>105</v>
      </c>
      <c r="C19" s="12" t="s">
        <v>106</v>
      </c>
    </row>
    <row r="20" spans="1:10" ht="15.75" customHeight="1">
      <c r="A20" s="13">
        <v>1</v>
      </c>
      <c r="B20" s="13" t="s">
        <v>107</v>
      </c>
      <c r="C20" s="13">
        <v>1</v>
      </c>
      <c r="J20" s="8"/>
    </row>
    <row r="21" spans="1:10" ht="15.75" customHeight="1">
      <c r="A21" s="13">
        <v>2</v>
      </c>
      <c r="B21" s="13" t="s">
        <v>108</v>
      </c>
      <c r="C21" s="13">
        <v>1</v>
      </c>
      <c r="J21" s="8"/>
    </row>
    <row r="22" spans="1:10" ht="15.75" customHeight="1">
      <c r="A22" s="13">
        <v>3</v>
      </c>
      <c r="B22" s="13" t="s">
        <v>109</v>
      </c>
      <c r="C22" s="13">
        <v>0.5</v>
      </c>
    </row>
    <row r="23" spans="1:10" ht="15.75" customHeight="1">
      <c r="A23" s="13">
        <v>4</v>
      </c>
      <c r="B23" s="13" t="s">
        <v>110</v>
      </c>
      <c r="C23" s="13">
        <v>1</v>
      </c>
    </row>
    <row r="24" spans="1:10" ht="15.75" customHeight="1">
      <c r="A24" s="13">
        <v>5</v>
      </c>
      <c r="B24" s="13" t="s">
        <v>111</v>
      </c>
      <c r="C24" s="13">
        <v>1</v>
      </c>
    </row>
    <row r="25" spans="1:10" ht="15.75" customHeight="1">
      <c r="A25" s="13">
        <v>6</v>
      </c>
      <c r="B25" s="13" t="s">
        <v>112</v>
      </c>
      <c r="C25" s="13">
        <v>0.5</v>
      </c>
    </row>
    <row r="26" spans="1:10" ht="15.75" customHeight="1">
      <c r="B26" s="12" t="s">
        <v>113</v>
      </c>
      <c r="C26">
        <f>SUM(C20:C25)</f>
        <v>5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90"/>
  <sheetViews>
    <sheetView zoomScale="125" zoomScaleNormal="125" zoomScalePageLayoutView="125" workbookViewId="0"/>
  </sheetViews>
  <sheetFormatPr defaultColWidth="14.42578125" defaultRowHeight="15.75" customHeight="1"/>
  <cols>
    <col min="1" max="1" width="49.42578125" customWidth="1"/>
    <col min="2" max="2" width="18" customWidth="1"/>
    <col min="5" max="5" width="16" customWidth="1"/>
    <col min="9" max="9" width="16.7109375" customWidth="1"/>
  </cols>
  <sheetData>
    <row r="1" spans="1:10" ht="15.75" customHeight="1">
      <c r="A1" s="14" t="s">
        <v>114</v>
      </c>
    </row>
    <row r="2" spans="1:10" ht="15.75" customHeight="1">
      <c r="A2" s="1" t="s">
        <v>41</v>
      </c>
      <c r="B2" s="1" t="s">
        <v>42</v>
      </c>
      <c r="C2" s="1" t="s">
        <v>43</v>
      </c>
      <c r="D2" s="1" t="s">
        <v>44</v>
      </c>
      <c r="E2" s="1" t="s">
        <v>45</v>
      </c>
      <c r="F2" s="1" t="s">
        <v>46</v>
      </c>
      <c r="G2" s="1" t="s">
        <v>47</v>
      </c>
      <c r="H2" s="1" t="s">
        <v>48</v>
      </c>
      <c r="I2" s="1" t="s">
        <v>49</v>
      </c>
      <c r="J2" s="1" t="s">
        <v>50</v>
      </c>
    </row>
    <row r="3" spans="1:10" ht="15.75" customHeight="1">
      <c r="A3" s="14" t="s">
        <v>115</v>
      </c>
      <c r="B3" s="13" t="s">
        <v>82</v>
      </c>
      <c r="C3" s="14" t="s">
        <v>116</v>
      </c>
      <c r="D3" s="13" t="s">
        <v>117</v>
      </c>
      <c r="F3" s="13">
        <v>1240</v>
      </c>
      <c r="G3" s="3">
        <v>43836</v>
      </c>
      <c r="H3" s="13" t="s">
        <v>118</v>
      </c>
      <c r="I3" s="7">
        <f>739.8/60000</f>
        <v>1.2329999999999999E-2</v>
      </c>
      <c r="J3" s="8">
        <f t="shared" ref="J3:J6" si="0">F3*I3</f>
        <v>15.289199999999999</v>
      </c>
    </row>
    <row r="4" spans="1:10" ht="15.75" customHeight="1">
      <c r="A4" s="14" t="s">
        <v>119</v>
      </c>
      <c r="B4" s="13" t="s">
        <v>82</v>
      </c>
      <c r="C4" s="14" t="s">
        <v>83</v>
      </c>
      <c r="D4" s="13" t="s">
        <v>84</v>
      </c>
      <c r="F4" s="13">
        <v>780</v>
      </c>
      <c r="G4" s="3">
        <v>43836</v>
      </c>
      <c r="H4" s="13" t="s">
        <v>120</v>
      </c>
      <c r="I4" s="7">
        <f>176.4/40000</f>
        <v>4.4099999999999999E-3</v>
      </c>
      <c r="J4" s="8">
        <f t="shared" si="0"/>
        <v>3.4398</v>
      </c>
    </row>
    <row r="5" spans="1:10" ht="15.75" customHeight="1">
      <c r="A5" s="13" t="s">
        <v>121</v>
      </c>
      <c r="B5" s="13" t="s">
        <v>93</v>
      </c>
      <c r="C5" s="14" t="s">
        <v>122</v>
      </c>
      <c r="D5" s="13" t="s">
        <v>95</v>
      </c>
      <c r="F5" s="13">
        <v>362</v>
      </c>
      <c r="G5" s="3">
        <v>43836</v>
      </c>
      <c r="H5" s="13" t="s">
        <v>123</v>
      </c>
      <c r="I5" s="7">
        <f t="shared" ref="I5:I6" si="1">2/112</f>
        <v>1.7857142857142856E-2</v>
      </c>
      <c r="J5" s="8">
        <f t="shared" si="0"/>
        <v>6.4642857142857135</v>
      </c>
    </row>
    <row r="6" spans="1:10" ht="15.75" customHeight="1">
      <c r="A6" s="13" t="s">
        <v>124</v>
      </c>
      <c r="B6" s="13" t="s">
        <v>93</v>
      </c>
      <c r="C6" s="14" t="s">
        <v>125</v>
      </c>
      <c r="D6" s="13" t="s">
        <v>95</v>
      </c>
      <c r="F6" s="13">
        <v>123</v>
      </c>
      <c r="G6" s="3">
        <v>43836</v>
      </c>
      <c r="H6" s="13" t="s">
        <v>123</v>
      </c>
      <c r="I6" s="7">
        <f t="shared" si="1"/>
        <v>1.7857142857142856E-2</v>
      </c>
      <c r="J6" s="8">
        <f t="shared" si="0"/>
        <v>2.1964285714285712</v>
      </c>
    </row>
    <row r="7" spans="1:10" ht="15.75" customHeight="1">
      <c r="A7" s="14" t="s">
        <v>126</v>
      </c>
      <c r="B7" s="13" t="s">
        <v>127</v>
      </c>
      <c r="C7" s="14" t="s">
        <v>128</v>
      </c>
      <c r="D7" s="13" t="s">
        <v>129</v>
      </c>
      <c r="F7" s="13">
        <v>131</v>
      </c>
      <c r="G7" s="3">
        <v>43836</v>
      </c>
      <c r="H7" s="13" t="s">
        <v>130</v>
      </c>
      <c r="I7" s="7"/>
      <c r="J7" s="8"/>
    </row>
    <row r="8" spans="1:10" ht="15.75" customHeight="1">
      <c r="A8" s="13" t="s">
        <v>131</v>
      </c>
      <c r="B8" s="13" t="s">
        <v>132</v>
      </c>
      <c r="C8" s="14" t="s">
        <v>133</v>
      </c>
      <c r="D8" s="13" t="s">
        <v>134</v>
      </c>
      <c r="E8" s="13" t="s">
        <v>135</v>
      </c>
      <c r="F8" s="13">
        <v>103</v>
      </c>
      <c r="G8" s="3">
        <v>43836</v>
      </c>
      <c r="H8" s="13" t="s">
        <v>136</v>
      </c>
      <c r="I8" s="7">
        <f>1/10</f>
        <v>0.1</v>
      </c>
      <c r="J8" s="8">
        <f t="shared" ref="J8:J24" si="2">F8*I8</f>
        <v>10.3</v>
      </c>
    </row>
    <row r="9" spans="1:10" ht="15.75" customHeight="1">
      <c r="A9" s="14" t="s">
        <v>137</v>
      </c>
      <c r="B9" s="13" t="s">
        <v>138</v>
      </c>
      <c r="C9" s="14">
        <v>6023</v>
      </c>
      <c r="D9" s="13" t="s">
        <v>139</v>
      </c>
      <c r="F9" s="13">
        <v>199</v>
      </c>
      <c r="G9" s="3">
        <v>43836</v>
      </c>
      <c r="H9" s="13" t="s">
        <v>123</v>
      </c>
      <c r="I9" s="7">
        <f>2/100</f>
        <v>0.02</v>
      </c>
      <c r="J9" s="8">
        <f t="shared" si="2"/>
        <v>3.98</v>
      </c>
    </row>
    <row r="10" spans="1:10" ht="15.75" customHeight="1">
      <c r="A10" s="13" t="s">
        <v>140</v>
      </c>
      <c r="B10" s="13" t="s">
        <v>66</v>
      </c>
      <c r="C10" s="14">
        <v>18427013</v>
      </c>
      <c r="D10" s="13" t="s">
        <v>141</v>
      </c>
      <c r="E10" s="13" t="s">
        <v>142</v>
      </c>
      <c r="F10" s="13">
        <v>99</v>
      </c>
      <c r="G10" s="3">
        <v>43836</v>
      </c>
      <c r="H10" s="13" t="s">
        <v>134</v>
      </c>
      <c r="I10" s="7">
        <f>10/100</f>
        <v>0.1</v>
      </c>
      <c r="J10" s="8">
        <f t="shared" si="2"/>
        <v>9.9</v>
      </c>
    </row>
    <row r="11" spans="1:10" ht="15.75" customHeight="1">
      <c r="A11" s="13" t="s">
        <v>143</v>
      </c>
      <c r="B11" s="13" t="s">
        <v>66</v>
      </c>
      <c r="C11" s="14">
        <v>65305</v>
      </c>
      <c r="D11" s="13" t="s">
        <v>144</v>
      </c>
      <c r="E11" s="13" t="s">
        <v>145</v>
      </c>
      <c r="F11" s="13">
        <v>548</v>
      </c>
      <c r="G11" s="3">
        <v>43836</v>
      </c>
      <c r="H11" s="13" t="s">
        <v>146</v>
      </c>
      <c r="I11" s="7">
        <f>30/2000</f>
        <v>1.4999999999999999E-2</v>
      </c>
      <c r="J11" s="8">
        <f t="shared" si="2"/>
        <v>8.2199999999999989</v>
      </c>
    </row>
    <row r="12" spans="1:10" ht="15.75" customHeight="1">
      <c r="A12" s="14" t="s">
        <v>147</v>
      </c>
      <c r="B12" s="13" t="s">
        <v>132</v>
      </c>
      <c r="C12" s="13" t="s">
        <v>148</v>
      </c>
      <c r="D12" s="13" t="s">
        <v>149</v>
      </c>
      <c r="E12" s="13" t="s">
        <v>150</v>
      </c>
      <c r="F12" s="13">
        <v>70</v>
      </c>
      <c r="G12" s="3">
        <v>43836</v>
      </c>
      <c r="H12" s="13" t="s">
        <v>136</v>
      </c>
      <c r="I12" s="6">
        <f>1/150</f>
        <v>6.6666666666666671E-3</v>
      </c>
      <c r="J12" s="8">
        <f t="shared" si="2"/>
        <v>0.46666666666666667</v>
      </c>
    </row>
    <row r="13" spans="1:10" ht="15.75" customHeight="1">
      <c r="A13" s="13" t="s">
        <v>151</v>
      </c>
      <c r="B13" s="13" t="s">
        <v>132</v>
      </c>
      <c r="C13" s="14" t="s">
        <v>152</v>
      </c>
      <c r="D13" s="13" t="s">
        <v>153</v>
      </c>
      <c r="F13" s="13">
        <v>227</v>
      </c>
      <c r="G13" s="3">
        <v>43836</v>
      </c>
      <c r="H13" s="13" t="s">
        <v>96</v>
      </c>
      <c r="I13" s="7">
        <f>1/50</f>
        <v>0.02</v>
      </c>
      <c r="J13" s="8">
        <f t="shared" si="2"/>
        <v>4.54</v>
      </c>
    </row>
    <row r="14" spans="1:10" ht="15.75" customHeight="1">
      <c r="A14" s="14" t="s">
        <v>154</v>
      </c>
      <c r="B14" s="13" t="s">
        <v>132</v>
      </c>
      <c r="C14" s="14" t="s">
        <v>155</v>
      </c>
      <c r="D14" s="13" t="s">
        <v>141</v>
      </c>
      <c r="E14" s="13" t="s">
        <v>156</v>
      </c>
      <c r="F14" s="13">
        <v>74</v>
      </c>
      <c r="G14" s="3">
        <v>43836</v>
      </c>
      <c r="H14" s="13" t="s">
        <v>80</v>
      </c>
      <c r="I14" s="7">
        <f t="shared" ref="I14:I15" si="3">2/100</f>
        <v>0.02</v>
      </c>
      <c r="J14" s="8">
        <f t="shared" si="2"/>
        <v>1.48</v>
      </c>
    </row>
    <row r="15" spans="1:10" ht="15.75" customHeight="1">
      <c r="A15" s="14" t="s">
        <v>157</v>
      </c>
      <c r="B15" s="13" t="s">
        <v>132</v>
      </c>
      <c r="C15" s="14" t="s">
        <v>158</v>
      </c>
      <c r="D15" s="13" t="s">
        <v>141</v>
      </c>
      <c r="E15" s="13" t="s">
        <v>156</v>
      </c>
      <c r="F15" s="13">
        <v>71</v>
      </c>
      <c r="G15" s="3">
        <v>43836</v>
      </c>
      <c r="H15" s="13" t="s">
        <v>80</v>
      </c>
      <c r="I15" s="7">
        <f t="shared" si="3"/>
        <v>0.02</v>
      </c>
      <c r="J15" s="8">
        <f t="shared" si="2"/>
        <v>1.42</v>
      </c>
    </row>
    <row r="16" spans="1:10" ht="15.75" customHeight="1">
      <c r="A16" s="14" t="s">
        <v>86</v>
      </c>
      <c r="B16" s="13" t="s">
        <v>87</v>
      </c>
      <c r="C16" s="14" t="s">
        <v>159</v>
      </c>
      <c r="D16" s="13" t="s">
        <v>89</v>
      </c>
      <c r="E16" s="13" t="s">
        <v>90</v>
      </c>
      <c r="F16" s="13">
        <v>157</v>
      </c>
      <c r="G16" s="3">
        <v>43836</v>
      </c>
      <c r="H16" s="13" t="s">
        <v>160</v>
      </c>
      <c r="I16" s="7">
        <f>25/1250</f>
        <v>0.02</v>
      </c>
      <c r="J16" s="8">
        <f t="shared" si="2"/>
        <v>3.14</v>
      </c>
    </row>
    <row r="17" spans="1:10" ht="15.75" customHeight="1">
      <c r="A17" s="14" t="s">
        <v>161</v>
      </c>
      <c r="B17" s="13" t="s">
        <v>162</v>
      </c>
      <c r="C17" s="14" t="s">
        <v>163</v>
      </c>
      <c r="D17" s="13" t="s">
        <v>73</v>
      </c>
      <c r="E17" s="13" t="s">
        <v>90</v>
      </c>
      <c r="F17" s="13">
        <v>86</v>
      </c>
      <c r="G17" s="3">
        <v>43836</v>
      </c>
      <c r="H17" s="13" t="s">
        <v>134</v>
      </c>
      <c r="I17" s="7">
        <f>10/1000</f>
        <v>0.01</v>
      </c>
      <c r="J17" s="8">
        <f t="shared" si="2"/>
        <v>0.86</v>
      </c>
    </row>
    <row r="18" spans="1:10" ht="15.75" customHeight="1">
      <c r="A18" s="13" t="s">
        <v>164</v>
      </c>
      <c r="B18" s="13" t="s">
        <v>165</v>
      </c>
      <c r="C18" s="14" t="s">
        <v>166</v>
      </c>
      <c r="D18" s="13" t="s">
        <v>67</v>
      </c>
      <c r="E18" s="13" t="s">
        <v>167</v>
      </c>
      <c r="F18" s="13">
        <v>114</v>
      </c>
      <c r="G18" s="3">
        <v>43836</v>
      </c>
      <c r="H18" s="13" t="s">
        <v>136</v>
      </c>
      <c r="I18" s="7">
        <f t="shared" ref="I18:I19" si="4">1/50</f>
        <v>0.02</v>
      </c>
      <c r="J18" s="8">
        <f t="shared" si="2"/>
        <v>2.2800000000000002</v>
      </c>
    </row>
    <row r="19" spans="1:10" ht="15.75" customHeight="1">
      <c r="A19" s="13" t="s">
        <v>168</v>
      </c>
      <c r="B19" s="13" t="s">
        <v>169</v>
      </c>
      <c r="C19" s="14">
        <v>28704</v>
      </c>
      <c r="D19" s="13" t="s">
        <v>153</v>
      </c>
      <c r="F19" s="13">
        <v>124</v>
      </c>
      <c r="G19" s="3">
        <v>43836</v>
      </c>
      <c r="H19" s="13" t="s">
        <v>96</v>
      </c>
      <c r="I19" s="7">
        <f t="shared" si="4"/>
        <v>0.02</v>
      </c>
      <c r="J19" s="8">
        <f t="shared" si="2"/>
        <v>2.48</v>
      </c>
    </row>
    <row r="20" spans="1:10" ht="15.75" customHeight="1">
      <c r="A20" s="13" t="s">
        <v>170</v>
      </c>
      <c r="B20" s="13" t="s">
        <v>66</v>
      </c>
      <c r="C20" s="14" t="s">
        <v>171</v>
      </c>
      <c r="D20" s="13" t="s">
        <v>73</v>
      </c>
      <c r="E20" s="13" t="s">
        <v>172</v>
      </c>
      <c r="F20" s="13">
        <v>481</v>
      </c>
      <c r="G20" s="3">
        <v>43836</v>
      </c>
      <c r="H20" s="13" t="s">
        <v>173</v>
      </c>
      <c r="I20" s="7">
        <f>5/1000</f>
        <v>5.0000000000000001E-3</v>
      </c>
      <c r="J20" s="8">
        <f t="shared" si="2"/>
        <v>2.4050000000000002</v>
      </c>
    </row>
    <row r="21" spans="1:10" ht="15.75" customHeight="1">
      <c r="A21" s="14" t="s">
        <v>174</v>
      </c>
      <c r="B21" s="13" t="s">
        <v>138</v>
      </c>
      <c r="C21" s="14" t="s">
        <v>175</v>
      </c>
      <c r="D21" s="13" t="s">
        <v>176</v>
      </c>
      <c r="E21" s="13" t="s">
        <v>177</v>
      </c>
      <c r="F21" s="13">
        <v>95</v>
      </c>
      <c r="G21" s="3">
        <v>43836</v>
      </c>
      <c r="H21" s="13" t="s">
        <v>178</v>
      </c>
      <c r="I21" s="7">
        <f>0.1/16.5</f>
        <v>6.0606060606060606E-3</v>
      </c>
      <c r="J21" s="8">
        <f t="shared" si="2"/>
        <v>0.5757575757575758</v>
      </c>
    </row>
    <row r="22" spans="1:10" ht="15.75" customHeight="1">
      <c r="A22" s="14" t="s">
        <v>179</v>
      </c>
      <c r="B22" s="13" t="s">
        <v>180</v>
      </c>
      <c r="C22" s="14" t="s">
        <v>181</v>
      </c>
      <c r="D22" s="13" t="s">
        <v>182</v>
      </c>
      <c r="E22" s="13" t="s">
        <v>183</v>
      </c>
      <c r="F22" s="13">
        <v>116</v>
      </c>
      <c r="G22" s="3">
        <v>43836</v>
      </c>
      <c r="H22" s="13" t="s">
        <v>184</v>
      </c>
      <c r="I22" s="7">
        <f>2.5/200</f>
        <v>1.2500000000000001E-2</v>
      </c>
      <c r="J22" s="8">
        <f t="shared" si="2"/>
        <v>1.4500000000000002</v>
      </c>
    </row>
    <row r="23" spans="1:10" ht="15.75" customHeight="1">
      <c r="A23" s="14" t="s">
        <v>185</v>
      </c>
      <c r="B23" s="13" t="s">
        <v>169</v>
      </c>
      <c r="C23" s="14">
        <v>79254</v>
      </c>
      <c r="D23" s="13" t="s">
        <v>153</v>
      </c>
      <c r="E23" s="14" t="s">
        <v>186</v>
      </c>
      <c r="F23" s="13">
        <v>113</v>
      </c>
      <c r="G23" s="3">
        <v>43836</v>
      </c>
      <c r="H23" s="13" t="s">
        <v>123</v>
      </c>
      <c r="I23" s="7">
        <f t="shared" ref="I23:I24" si="5">2/50</f>
        <v>0.04</v>
      </c>
      <c r="J23" s="8">
        <f t="shared" si="2"/>
        <v>4.5200000000000005</v>
      </c>
    </row>
    <row r="24" spans="1:10" ht="15.75" customHeight="1">
      <c r="A24" s="14" t="s">
        <v>187</v>
      </c>
      <c r="B24" s="13" t="s">
        <v>169</v>
      </c>
      <c r="C24" s="14">
        <v>74104</v>
      </c>
      <c r="D24" s="13" t="s">
        <v>153</v>
      </c>
      <c r="F24" s="13">
        <v>330</v>
      </c>
      <c r="G24" s="3">
        <v>43836</v>
      </c>
      <c r="H24" s="13" t="s">
        <v>123</v>
      </c>
      <c r="I24" s="7">
        <f t="shared" si="5"/>
        <v>0.04</v>
      </c>
      <c r="J24" s="8">
        <f t="shared" si="2"/>
        <v>13.200000000000001</v>
      </c>
    </row>
    <row r="25" spans="1:10" ht="15.75" customHeight="1">
      <c r="A25" s="14" t="s">
        <v>188</v>
      </c>
      <c r="B25" s="13" t="s">
        <v>76</v>
      </c>
      <c r="C25" s="14" t="s">
        <v>189</v>
      </c>
      <c r="D25" s="14" t="s">
        <v>190</v>
      </c>
      <c r="F25" s="13">
        <v>177</v>
      </c>
      <c r="G25" s="3">
        <v>43836</v>
      </c>
      <c r="I25" s="7"/>
      <c r="J25" s="8"/>
    </row>
    <row r="26" spans="1:10" ht="15.75" customHeight="1">
      <c r="A26" s="13" t="s">
        <v>191</v>
      </c>
      <c r="B26" s="13" t="s">
        <v>66</v>
      </c>
      <c r="C26" s="14">
        <v>18080044</v>
      </c>
      <c r="D26" s="13" t="s">
        <v>67</v>
      </c>
      <c r="E26" s="13" t="s">
        <v>68</v>
      </c>
      <c r="F26" s="13">
        <v>372</v>
      </c>
      <c r="G26" s="3">
        <v>43836</v>
      </c>
      <c r="H26" s="13" t="s">
        <v>192</v>
      </c>
      <c r="I26" s="7">
        <f>3.8/50</f>
        <v>7.5999999999999998E-2</v>
      </c>
      <c r="J26" s="8">
        <f>F26*I26</f>
        <v>28.271999999999998</v>
      </c>
    </row>
    <row r="27" spans="1:10" ht="15.75" customHeight="1">
      <c r="A27" s="13" t="s">
        <v>193</v>
      </c>
      <c r="B27" s="13" t="s">
        <v>194</v>
      </c>
      <c r="C27" s="14" t="s">
        <v>195</v>
      </c>
      <c r="D27" s="13" t="s">
        <v>196</v>
      </c>
      <c r="F27" s="13">
        <v>20</v>
      </c>
      <c r="G27" s="3">
        <v>43836</v>
      </c>
      <c r="I27" s="7"/>
      <c r="J27" s="8"/>
    </row>
    <row r="28" spans="1:10" ht="15.75" customHeight="1">
      <c r="A28" s="14" t="s">
        <v>197</v>
      </c>
      <c r="B28" s="13" t="s">
        <v>76</v>
      </c>
      <c r="C28" s="14" t="s">
        <v>198</v>
      </c>
      <c r="D28" s="13" t="s">
        <v>196</v>
      </c>
      <c r="F28" s="13">
        <v>128</v>
      </c>
      <c r="G28" s="3">
        <v>43836</v>
      </c>
      <c r="I28" s="7"/>
      <c r="J28" s="8"/>
    </row>
    <row r="29" spans="1:10" ht="15.75" customHeight="1">
      <c r="A29" s="14" t="s">
        <v>199</v>
      </c>
      <c r="B29" s="13" t="s">
        <v>76</v>
      </c>
      <c r="C29" s="14" t="s">
        <v>200</v>
      </c>
      <c r="D29" s="13" t="s">
        <v>201</v>
      </c>
      <c r="F29" s="13">
        <v>111</v>
      </c>
      <c r="G29" s="3">
        <v>43836</v>
      </c>
      <c r="I29" s="7"/>
      <c r="J29" s="8"/>
    </row>
    <row r="30" spans="1:10" ht="15.75" customHeight="1">
      <c r="A30" s="14" t="s">
        <v>202</v>
      </c>
      <c r="B30" s="13" t="s">
        <v>203</v>
      </c>
      <c r="C30" s="13" t="s">
        <v>204</v>
      </c>
      <c r="D30" s="13" t="s">
        <v>205</v>
      </c>
      <c r="E30" s="13" t="s">
        <v>55</v>
      </c>
      <c r="F30" s="13">
        <v>61</v>
      </c>
      <c r="G30" s="3">
        <v>43836</v>
      </c>
      <c r="H30" s="13" t="s">
        <v>136</v>
      </c>
      <c r="I30" s="7">
        <f>1/500</f>
        <v>2E-3</v>
      </c>
      <c r="J30" s="8">
        <f t="shared" ref="J30:J33" si="6">F30*I30</f>
        <v>0.122</v>
      </c>
    </row>
    <row r="31" spans="1:10" ht="15.75" customHeight="1">
      <c r="A31" s="13" t="s">
        <v>206</v>
      </c>
      <c r="B31" s="13" t="s">
        <v>132</v>
      </c>
      <c r="C31" s="14" t="s">
        <v>207</v>
      </c>
      <c r="D31" s="13" t="s">
        <v>67</v>
      </c>
      <c r="E31" s="13" t="s">
        <v>208</v>
      </c>
      <c r="F31" s="13">
        <v>74</v>
      </c>
      <c r="G31" s="3">
        <v>43836</v>
      </c>
      <c r="H31" s="13" t="s">
        <v>80</v>
      </c>
      <c r="I31" s="7">
        <f>2/50</f>
        <v>0.04</v>
      </c>
      <c r="J31" s="8">
        <f t="shared" si="6"/>
        <v>2.96</v>
      </c>
    </row>
    <row r="32" spans="1:10" ht="15.75" customHeight="1">
      <c r="A32" s="14" t="s">
        <v>209</v>
      </c>
      <c r="B32" s="13" t="s">
        <v>132</v>
      </c>
      <c r="C32" s="14" t="s">
        <v>210</v>
      </c>
      <c r="D32" s="13" t="s">
        <v>54</v>
      </c>
      <c r="E32" s="13" t="s">
        <v>211</v>
      </c>
      <c r="F32" s="13">
        <v>140</v>
      </c>
      <c r="G32" s="3">
        <v>43836</v>
      </c>
      <c r="H32" s="13" t="s">
        <v>136</v>
      </c>
      <c r="I32" s="7">
        <f>1/40</f>
        <v>2.5000000000000001E-2</v>
      </c>
      <c r="J32" s="8">
        <f t="shared" si="6"/>
        <v>3.5</v>
      </c>
    </row>
    <row r="33" spans="1:10" ht="15.75" customHeight="1">
      <c r="A33" s="14" t="s">
        <v>212</v>
      </c>
      <c r="B33" s="13" t="s">
        <v>66</v>
      </c>
      <c r="C33" s="14">
        <v>10218014</v>
      </c>
      <c r="D33" s="13" t="s">
        <v>213</v>
      </c>
      <c r="E33" s="13" t="s">
        <v>214</v>
      </c>
      <c r="F33" s="13">
        <v>94</v>
      </c>
      <c r="G33" s="3">
        <v>43836</v>
      </c>
      <c r="H33" s="13" t="s">
        <v>136</v>
      </c>
      <c r="I33" s="7">
        <f>1/250</f>
        <v>4.0000000000000001E-3</v>
      </c>
      <c r="J33" s="8">
        <f t="shared" si="6"/>
        <v>0.376</v>
      </c>
    </row>
    <row r="34" spans="1:10" ht="15.75" customHeight="1">
      <c r="A34" s="14" t="s">
        <v>215</v>
      </c>
      <c r="B34" s="13" t="s">
        <v>66</v>
      </c>
      <c r="C34" s="14">
        <v>25530049</v>
      </c>
      <c r="D34" s="13" t="s">
        <v>216</v>
      </c>
      <c r="E34" s="13" t="s">
        <v>217</v>
      </c>
      <c r="F34" s="13">
        <v>166</v>
      </c>
      <c r="G34" s="3">
        <v>43837</v>
      </c>
    </row>
    <row r="35" spans="1:10" ht="15.75" customHeight="1">
      <c r="A35" s="13" t="s">
        <v>218</v>
      </c>
      <c r="B35" s="13" t="s">
        <v>100</v>
      </c>
      <c r="F35" s="13">
        <v>9</v>
      </c>
      <c r="G35" s="3">
        <v>43836</v>
      </c>
    </row>
    <row r="36" spans="1:10" ht="15.75" customHeight="1">
      <c r="A36" s="14" t="s">
        <v>219</v>
      </c>
      <c r="B36" s="13" t="s">
        <v>100</v>
      </c>
      <c r="F36" s="13">
        <v>12</v>
      </c>
      <c r="G36" s="3">
        <v>43836</v>
      </c>
    </row>
    <row r="37" spans="1:10" ht="15.75" customHeight="1">
      <c r="A37" s="13" t="s">
        <v>220</v>
      </c>
      <c r="B37" s="13" t="s">
        <v>100</v>
      </c>
      <c r="F37" s="13">
        <v>34</v>
      </c>
      <c r="G37" s="3">
        <v>43836</v>
      </c>
    </row>
    <row r="38" spans="1:10" ht="15.75" customHeight="1">
      <c r="A38" s="13" t="s">
        <v>221</v>
      </c>
      <c r="B38" s="13" t="s">
        <v>100</v>
      </c>
      <c r="F38" s="13">
        <v>40</v>
      </c>
      <c r="G38" s="3">
        <v>43836</v>
      </c>
    </row>
    <row r="39" spans="1:10" ht="15.75" customHeight="1">
      <c r="A39" s="13" t="s">
        <v>222</v>
      </c>
      <c r="B39" s="13" t="s">
        <v>100</v>
      </c>
      <c r="F39" s="13">
        <v>40</v>
      </c>
      <c r="G39" s="3">
        <v>43836</v>
      </c>
    </row>
    <row r="40" spans="1:10" ht="15.75" customHeight="1">
      <c r="A40" s="13" t="s">
        <v>223</v>
      </c>
      <c r="B40" s="13" t="s">
        <v>100</v>
      </c>
      <c r="F40" s="13">
        <v>57</v>
      </c>
      <c r="G40" s="3">
        <v>43836</v>
      </c>
    </row>
    <row r="41" spans="1:10" ht="15.75" customHeight="1">
      <c r="A41" s="13" t="s">
        <v>224</v>
      </c>
      <c r="B41" s="13" t="s">
        <v>100</v>
      </c>
      <c r="F41" s="13">
        <v>170</v>
      </c>
      <c r="G41" s="3">
        <v>43836</v>
      </c>
    </row>
    <row r="42" spans="1:10" ht="15.75" customHeight="1">
      <c r="A42" s="13" t="s">
        <v>225</v>
      </c>
      <c r="B42" s="13" t="s">
        <v>100</v>
      </c>
      <c r="F42" s="13">
        <v>21</v>
      </c>
      <c r="G42" s="3">
        <v>43836</v>
      </c>
    </row>
    <row r="43" spans="1:10" ht="15.75" customHeight="1">
      <c r="A43" s="13" t="s">
        <v>226</v>
      </c>
      <c r="B43" s="13" t="s">
        <v>100</v>
      </c>
      <c r="F43" s="13">
        <v>21</v>
      </c>
      <c r="G43" s="3">
        <v>43836</v>
      </c>
    </row>
    <row r="44" spans="1:10" ht="15.75" customHeight="1">
      <c r="E44" s="12" t="s">
        <v>32</v>
      </c>
      <c r="F44">
        <f>SUM(F3:F43)</f>
        <v>7390</v>
      </c>
      <c r="I44" s="1" t="s">
        <v>50</v>
      </c>
      <c r="J44" s="8">
        <f>SUM(J3:J43)</f>
        <v>133.83713852813855</v>
      </c>
    </row>
    <row r="47" spans="1:10" ht="15.75" customHeight="1">
      <c r="A47" s="12" t="s">
        <v>104</v>
      </c>
      <c r="B47" s="12" t="s">
        <v>105</v>
      </c>
      <c r="C47" s="12" t="s">
        <v>106</v>
      </c>
      <c r="J47" s="8"/>
    </row>
    <row r="48" spans="1:10" ht="15.75" customHeight="1">
      <c r="A48" s="15">
        <v>1</v>
      </c>
      <c r="B48" s="15" t="s">
        <v>227</v>
      </c>
      <c r="C48" s="15">
        <v>1.5</v>
      </c>
      <c r="J48" s="8"/>
    </row>
    <row r="49" spans="1:26" ht="15.75" customHeight="1">
      <c r="A49" s="15">
        <v>2</v>
      </c>
      <c r="B49" s="15" t="s">
        <v>228</v>
      </c>
      <c r="C49" s="15">
        <v>1.5</v>
      </c>
    </row>
    <row r="50" spans="1:26" ht="15.75" customHeight="1">
      <c r="A50" s="15">
        <v>3</v>
      </c>
      <c r="B50" s="15" t="s">
        <v>229</v>
      </c>
      <c r="C50" s="15">
        <v>2.5</v>
      </c>
    </row>
    <row r="51" spans="1:26" ht="15.75" customHeight="1">
      <c r="A51" s="15">
        <v>4</v>
      </c>
      <c r="B51" s="15" t="s">
        <v>230</v>
      </c>
      <c r="C51" s="15">
        <v>0.25</v>
      </c>
    </row>
    <row r="52" spans="1:26" ht="15.75" customHeight="1">
      <c r="A52" s="15">
        <v>5</v>
      </c>
      <c r="B52" s="15" t="s">
        <v>231</v>
      </c>
      <c r="C52" s="15">
        <v>1.5</v>
      </c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5.75" customHeight="1">
      <c r="A53" s="15">
        <v>6</v>
      </c>
      <c r="B53" s="15" t="s">
        <v>230</v>
      </c>
      <c r="C53" s="15">
        <v>0.25</v>
      </c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5.75" customHeight="1">
      <c r="A54" s="15">
        <v>7</v>
      </c>
      <c r="B54" s="15" t="s">
        <v>108</v>
      </c>
      <c r="C54" s="15">
        <v>1.5</v>
      </c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5.75" customHeight="1">
      <c r="A55" s="15">
        <v>8</v>
      </c>
      <c r="B55" s="15" t="s">
        <v>109</v>
      </c>
      <c r="C55" s="15">
        <v>0.5</v>
      </c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5.75" customHeight="1">
      <c r="A56" s="15">
        <v>9</v>
      </c>
      <c r="B56" s="15" t="s">
        <v>232</v>
      </c>
      <c r="C56" s="15">
        <v>1</v>
      </c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5.75" customHeight="1">
      <c r="A57" s="15">
        <v>10</v>
      </c>
      <c r="B57" s="15" t="s">
        <v>109</v>
      </c>
      <c r="C57" s="15">
        <v>0.5</v>
      </c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5.75" customHeight="1">
      <c r="A58" s="15">
        <v>11</v>
      </c>
      <c r="B58" s="15" t="s">
        <v>233</v>
      </c>
      <c r="C58" s="15">
        <v>2.25</v>
      </c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5.75" customHeight="1">
      <c r="A59" s="15">
        <v>12</v>
      </c>
      <c r="B59" s="15" t="s">
        <v>109</v>
      </c>
      <c r="C59" s="15">
        <v>0.5</v>
      </c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5.75" customHeight="1">
      <c r="A60" s="15">
        <v>13</v>
      </c>
      <c r="B60" s="15" t="s">
        <v>234</v>
      </c>
      <c r="C60" s="15">
        <v>0.75</v>
      </c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5.75" customHeight="1">
      <c r="A61" s="15">
        <v>14</v>
      </c>
      <c r="B61" s="15" t="s">
        <v>235</v>
      </c>
      <c r="C61" s="15">
        <v>1</v>
      </c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5.75" customHeight="1">
      <c r="A62" s="15">
        <v>15</v>
      </c>
      <c r="B62" s="15" t="s">
        <v>236</v>
      </c>
      <c r="C62" s="15">
        <v>1</v>
      </c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5.75" customHeight="1">
      <c r="A63" s="15">
        <v>16</v>
      </c>
      <c r="B63" s="15" t="s">
        <v>237</v>
      </c>
      <c r="C63" s="15">
        <v>0.25</v>
      </c>
      <c r="D63" s="15" t="s">
        <v>238</v>
      </c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5.75" customHeight="1">
      <c r="A64" s="15">
        <v>17</v>
      </c>
      <c r="B64" s="15" t="s">
        <v>109</v>
      </c>
      <c r="C64" s="15">
        <v>0.5</v>
      </c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5.75" customHeight="1">
      <c r="A65" s="15">
        <v>18</v>
      </c>
      <c r="B65" s="15" t="s">
        <v>239</v>
      </c>
      <c r="C65" s="15">
        <v>1</v>
      </c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5.75" customHeight="1">
      <c r="A66" s="15">
        <v>19</v>
      </c>
      <c r="B66" s="15" t="s">
        <v>240</v>
      </c>
      <c r="C66" s="15">
        <v>0.75</v>
      </c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5.75" customHeight="1">
      <c r="A67" s="15">
        <v>20</v>
      </c>
      <c r="B67" s="15" t="s">
        <v>109</v>
      </c>
      <c r="C67" s="15">
        <v>0.5</v>
      </c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5.75" customHeight="1">
      <c r="A68" s="15">
        <v>21</v>
      </c>
      <c r="B68" s="15" t="s">
        <v>241</v>
      </c>
      <c r="C68" s="15">
        <v>1</v>
      </c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5.75" customHeight="1">
      <c r="A69" s="15">
        <v>22</v>
      </c>
      <c r="B69" s="14" t="s">
        <v>242</v>
      </c>
      <c r="C69" s="15">
        <v>0.5</v>
      </c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5.75" customHeight="1">
      <c r="A70" s="15">
        <v>23</v>
      </c>
      <c r="B70" s="15" t="s">
        <v>109</v>
      </c>
      <c r="C70" s="15">
        <v>0.5</v>
      </c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5.75" customHeight="1">
      <c r="A71" s="15">
        <v>24</v>
      </c>
      <c r="B71" s="15" t="s">
        <v>112</v>
      </c>
      <c r="C71" s="15">
        <v>0.5</v>
      </c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5.75" customHeight="1">
      <c r="A72" s="15">
        <v>25</v>
      </c>
      <c r="B72" s="15" t="s">
        <v>243</v>
      </c>
      <c r="C72" s="15">
        <v>3.5</v>
      </c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5.75" customHeight="1">
      <c r="A73" s="15">
        <v>26</v>
      </c>
      <c r="B73" s="15" t="s">
        <v>109</v>
      </c>
      <c r="C73" s="15">
        <v>0.5</v>
      </c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5.75" customHeight="1">
      <c r="A74" s="15">
        <v>27</v>
      </c>
      <c r="B74" s="15" t="s">
        <v>244</v>
      </c>
      <c r="C74" s="15">
        <v>3</v>
      </c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5.75" customHeight="1">
      <c r="A75" s="15">
        <v>28</v>
      </c>
      <c r="B75" s="13" t="s">
        <v>245</v>
      </c>
      <c r="C75" s="13">
        <v>1</v>
      </c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5.75" customHeight="1">
      <c r="A76" s="15">
        <v>29</v>
      </c>
      <c r="B76" s="13" t="s">
        <v>109</v>
      </c>
      <c r="C76" s="13">
        <v>0.5</v>
      </c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5.75" customHeight="1">
      <c r="A77" s="15">
        <v>30</v>
      </c>
      <c r="B77" s="13" t="s">
        <v>243</v>
      </c>
      <c r="C77" s="13">
        <v>3.5</v>
      </c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5.75" customHeight="1">
      <c r="A78" s="15">
        <v>31</v>
      </c>
      <c r="B78" s="13" t="s">
        <v>109</v>
      </c>
      <c r="C78" s="13">
        <v>0.5</v>
      </c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5.75" customHeight="1">
      <c r="A79" s="15">
        <v>32</v>
      </c>
      <c r="B79" s="13" t="s">
        <v>111</v>
      </c>
      <c r="C79" s="13">
        <v>0.5</v>
      </c>
    </row>
    <row r="80" spans="1:26" ht="15.75" customHeight="1">
      <c r="A80" s="15">
        <v>33</v>
      </c>
      <c r="B80" s="15" t="s">
        <v>112</v>
      </c>
      <c r="C80" s="13">
        <v>0.5</v>
      </c>
    </row>
    <row r="81" spans="1:4" ht="15.75" customHeight="1">
      <c r="A81" s="15">
        <v>34</v>
      </c>
      <c r="B81" s="13" t="s">
        <v>246</v>
      </c>
      <c r="C81" s="13">
        <v>0.5</v>
      </c>
    </row>
    <row r="82" spans="1:4" ht="15.75" customHeight="1">
      <c r="A82" s="15"/>
      <c r="B82" s="13" t="s">
        <v>247</v>
      </c>
      <c r="C82">
        <f>SUM(C48:C81)</f>
        <v>36</v>
      </c>
      <c r="D82" s="13" t="s">
        <v>238</v>
      </c>
    </row>
    <row r="87" spans="1:4" ht="15.75" customHeight="1">
      <c r="A87" s="15"/>
    </row>
    <row r="88" spans="1:4" ht="15.75" customHeight="1">
      <c r="A88" s="15"/>
    </row>
    <row r="89" spans="1:4" ht="15.75" customHeight="1">
      <c r="A89" s="15"/>
    </row>
    <row r="90" spans="1:4" ht="15.75" customHeight="1">
      <c r="A90" s="15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K41"/>
  <sheetViews>
    <sheetView zoomScale="125" zoomScaleNormal="125" zoomScalePageLayoutView="125" workbookViewId="0"/>
  </sheetViews>
  <sheetFormatPr defaultColWidth="14.42578125" defaultRowHeight="15.75" customHeight="1"/>
  <cols>
    <col min="1" max="1" width="44.140625" customWidth="1"/>
    <col min="2" max="2" width="21.28515625" customWidth="1"/>
    <col min="9" max="9" width="47" customWidth="1"/>
  </cols>
  <sheetData>
    <row r="1" spans="1:11" ht="15.75" customHeight="1">
      <c r="A1" s="14" t="s">
        <v>248</v>
      </c>
      <c r="B1" s="1"/>
      <c r="C1" s="1"/>
      <c r="D1" s="1"/>
      <c r="E1" s="1"/>
      <c r="F1" s="1"/>
      <c r="G1" s="1"/>
      <c r="H1" s="1"/>
      <c r="I1" s="1"/>
      <c r="J1" s="1"/>
    </row>
    <row r="2" spans="1:11" ht="15.75" customHeight="1">
      <c r="A2" s="1" t="s">
        <v>41</v>
      </c>
      <c r="B2" s="1" t="s">
        <v>42</v>
      </c>
      <c r="C2" s="1" t="s">
        <v>43</v>
      </c>
      <c r="D2" s="1" t="s">
        <v>44</v>
      </c>
      <c r="E2" s="1" t="s">
        <v>45</v>
      </c>
      <c r="F2" s="1" t="s">
        <v>46</v>
      </c>
      <c r="G2" s="1" t="s">
        <v>47</v>
      </c>
      <c r="H2" s="1" t="s">
        <v>48</v>
      </c>
      <c r="I2" s="1" t="s">
        <v>49</v>
      </c>
      <c r="J2" s="1" t="s">
        <v>50</v>
      </c>
      <c r="K2" s="12" t="s">
        <v>249</v>
      </c>
    </row>
    <row r="3" spans="1:11" ht="15.75" customHeight="1">
      <c r="A3" s="13" t="s">
        <v>250</v>
      </c>
      <c r="B3" s="13" t="s">
        <v>82</v>
      </c>
      <c r="C3" s="14" t="s">
        <v>251</v>
      </c>
      <c r="D3" s="13" t="s">
        <v>216</v>
      </c>
      <c r="F3" s="13">
        <v>335</v>
      </c>
      <c r="G3" s="3">
        <v>43836</v>
      </c>
      <c r="H3" s="13" t="s">
        <v>252</v>
      </c>
      <c r="I3" s="7">
        <f>98/5000</f>
        <v>1.9599999999999999E-2</v>
      </c>
      <c r="J3" s="8">
        <f t="shared" ref="J3:J10" si="0">F3*I3</f>
        <v>6.5659999999999998</v>
      </c>
      <c r="K3" s="13" t="s">
        <v>253</v>
      </c>
    </row>
    <row r="4" spans="1:11" ht="15.75" customHeight="1">
      <c r="A4" s="13" t="s">
        <v>75</v>
      </c>
      <c r="B4" s="13" t="s">
        <v>76</v>
      </c>
      <c r="C4" s="14" t="s">
        <v>77</v>
      </c>
      <c r="D4" s="13" t="s">
        <v>78</v>
      </c>
      <c r="E4" s="13" t="s">
        <v>79</v>
      </c>
      <c r="F4" s="13">
        <v>26</v>
      </c>
      <c r="G4" s="3">
        <v>43836</v>
      </c>
      <c r="H4" s="13" t="s">
        <v>254</v>
      </c>
      <c r="I4" s="7">
        <f>1.5/1500</f>
        <v>1E-3</v>
      </c>
      <c r="J4" s="8">
        <f t="shared" si="0"/>
        <v>2.6000000000000002E-2</v>
      </c>
      <c r="K4" s="13" t="s">
        <v>253</v>
      </c>
    </row>
    <row r="5" spans="1:11" ht="15.75" customHeight="1">
      <c r="A5" s="14" t="s">
        <v>255</v>
      </c>
      <c r="B5" s="14" t="s">
        <v>66</v>
      </c>
      <c r="C5" s="14" t="s">
        <v>256</v>
      </c>
      <c r="D5" s="13" t="s">
        <v>257</v>
      </c>
      <c r="E5" s="13" t="s">
        <v>258</v>
      </c>
      <c r="F5" s="13">
        <v>128</v>
      </c>
      <c r="G5" s="3">
        <v>43836</v>
      </c>
      <c r="H5" s="13" t="s">
        <v>184</v>
      </c>
      <c r="I5" s="7">
        <f>2.5/300</f>
        <v>8.3333333333333332E-3</v>
      </c>
      <c r="J5" s="8">
        <f t="shared" si="0"/>
        <v>1.0666666666666667</v>
      </c>
      <c r="K5" s="13" t="s">
        <v>253</v>
      </c>
    </row>
    <row r="6" spans="1:11" ht="15.75" customHeight="1">
      <c r="A6" s="13" t="s">
        <v>259</v>
      </c>
      <c r="B6" s="13" t="s">
        <v>138</v>
      </c>
      <c r="C6" s="14" t="s">
        <v>260</v>
      </c>
      <c r="D6" s="13" t="s">
        <v>261</v>
      </c>
      <c r="E6" s="13" t="s">
        <v>90</v>
      </c>
      <c r="F6" s="13">
        <v>337</v>
      </c>
      <c r="G6" s="3">
        <v>43836</v>
      </c>
      <c r="H6" s="13" t="s">
        <v>173</v>
      </c>
      <c r="I6" s="7">
        <f>5/5000</f>
        <v>1E-3</v>
      </c>
      <c r="J6" s="8">
        <f t="shared" si="0"/>
        <v>0.33700000000000002</v>
      </c>
      <c r="K6" s="13" t="s">
        <v>253</v>
      </c>
    </row>
    <row r="7" spans="1:11" ht="15.75" customHeight="1">
      <c r="A7" s="14" t="s">
        <v>262</v>
      </c>
      <c r="B7" s="13" t="s">
        <v>263</v>
      </c>
      <c r="C7" s="14" t="s">
        <v>264</v>
      </c>
      <c r="D7" s="13" t="s">
        <v>265</v>
      </c>
      <c r="F7" s="13">
        <v>774</v>
      </c>
      <c r="G7" s="3">
        <v>43836</v>
      </c>
      <c r="H7" s="13" t="s">
        <v>96</v>
      </c>
      <c r="I7" s="7">
        <f>1/24</f>
        <v>4.1666666666666664E-2</v>
      </c>
      <c r="J7" s="8">
        <f t="shared" si="0"/>
        <v>32.25</v>
      </c>
    </row>
    <row r="8" spans="1:11" ht="15.75" customHeight="1">
      <c r="A8" s="14" t="s">
        <v>86</v>
      </c>
      <c r="B8" s="13" t="s">
        <v>87</v>
      </c>
      <c r="C8" s="13" t="s">
        <v>88</v>
      </c>
      <c r="D8" s="13" t="s">
        <v>89</v>
      </c>
      <c r="E8" s="13" t="s">
        <v>90</v>
      </c>
      <c r="F8" s="13">
        <v>157</v>
      </c>
      <c r="G8" s="3">
        <v>43836</v>
      </c>
      <c r="H8" s="13" t="s">
        <v>160</v>
      </c>
      <c r="I8" s="7">
        <f>25/1250</f>
        <v>0.02</v>
      </c>
      <c r="J8" s="8">
        <f t="shared" si="0"/>
        <v>3.14</v>
      </c>
      <c r="K8" s="13" t="s">
        <v>253</v>
      </c>
    </row>
    <row r="9" spans="1:11" ht="15.75" customHeight="1">
      <c r="A9" s="13" t="s">
        <v>191</v>
      </c>
      <c r="B9" s="13" t="s">
        <v>66</v>
      </c>
      <c r="C9" s="14">
        <v>18080044</v>
      </c>
      <c r="D9" s="13" t="s">
        <v>67</v>
      </c>
      <c r="E9" s="13" t="s">
        <v>68</v>
      </c>
      <c r="F9" s="13">
        <v>372</v>
      </c>
      <c r="G9" s="3">
        <v>43836</v>
      </c>
      <c r="H9" s="13" t="s">
        <v>136</v>
      </c>
      <c r="I9" s="7">
        <f>1/50</f>
        <v>0.02</v>
      </c>
      <c r="J9" s="8">
        <f t="shared" si="0"/>
        <v>7.44</v>
      </c>
      <c r="K9" s="13" t="s">
        <v>253</v>
      </c>
    </row>
    <row r="10" spans="1:11" ht="15.75" customHeight="1">
      <c r="A10" s="13" t="s">
        <v>51</v>
      </c>
      <c r="B10" s="13" t="s">
        <v>52</v>
      </c>
      <c r="C10" s="13" t="s">
        <v>53</v>
      </c>
      <c r="D10" s="13" t="s">
        <v>54</v>
      </c>
      <c r="E10" s="13" t="s">
        <v>55</v>
      </c>
      <c r="F10" s="13">
        <v>218</v>
      </c>
      <c r="G10" s="3">
        <v>43836</v>
      </c>
      <c r="H10" s="13" t="s">
        <v>69</v>
      </c>
      <c r="I10" s="7">
        <f>0.5/40</f>
        <v>1.2500000000000001E-2</v>
      </c>
      <c r="J10" s="8">
        <f t="shared" si="0"/>
        <v>2.7250000000000001</v>
      </c>
      <c r="K10" s="13" t="s">
        <v>253</v>
      </c>
    </row>
    <row r="11" spans="1:11" ht="15.75" customHeight="1">
      <c r="A11" s="13" t="s">
        <v>193</v>
      </c>
      <c r="B11" s="13" t="s">
        <v>194</v>
      </c>
      <c r="C11" s="14" t="s">
        <v>195</v>
      </c>
      <c r="D11" s="13" t="s">
        <v>196</v>
      </c>
      <c r="F11" s="13">
        <v>20</v>
      </c>
      <c r="G11" s="3">
        <v>43836</v>
      </c>
      <c r="I11" s="7"/>
      <c r="J11" s="8"/>
    </row>
    <row r="12" spans="1:11" ht="15.75" customHeight="1">
      <c r="A12" s="14" t="s">
        <v>197</v>
      </c>
      <c r="B12" s="13" t="s">
        <v>76</v>
      </c>
      <c r="C12" s="14" t="s">
        <v>198</v>
      </c>
      <c r="D12" s="13" t="s">
        <v>196</v>
      </c>
      <c r="F12" s="13">
        <v>128</v>
      </c>
      <c r="G12" s="3">
        <v>43836</v>
      </c>
      <c r="I12" s="7"/>
      <c r="J12" s="8"/>
    </row>
    <row r="13" spans="1:11" ht="15.75" customHeight="1">
      <c r="A13" s="14" t="s">
        <v>266</v>
      </c>
      <c r="B13" s="13" t="s">
        <v>169</v>
      </c>
      <c r="C13" s="14">
        <v>19086</v>
      </c>
      <c r="D13" s="13" t="s">
        <v>267</v>
      </c>
      <c r="F13" s="13">
        <v>36</v>
      </c>
      <c r="G13" s="3">
        <v>43836</v>
      </c>
      <c r="I13" s="7"/>
      <c r="J13" s="8"/>
    </row>
    <row r="14" spans="1:11" ht="15.75" customHeight="1">
      <c r="A14" s="13" t="s">
        <v>170</v>
      </c>
      <c r="B14" s="13" t="s">
        <v>66</v>
      </c>
      <c r="C14" s="14" t="s">
        <v>171</v>
      </c>
      <c r="D14" s="13" t="s">
        <v>73</v>
      </c>
      <c r="E14" s="13" t="s">
        <v>172</v>
      </c>
      <c r="F14" s="13">
        <v>481</v>
      </c>
      <c r="G14" s="3">
        <v>43836</v>
      </c>
      <c r="H14" s="13" t="s">
        <v>134</v>
      </c>
      <c r="I14" s="7">
        <f>5/1000</f>
        <v>5.0000000000000001E-3</v>
      </c>
      <c r="J14" s="8">
        <f t="shared" ref="J14:J15" si="1">F14*I14</f>
        <v>2.4050000000000002</v>
      </c>
      <c r="K14" s="13" t="s">
        <v>253</v>
      </c>
    </row>
    <row r="15" spans="1:11" ht="15.75" customHeight="1">
      <c r="A15" s="14" t="s">
        <v>268</v>
      </c>
      <c r="B15" s="13" t="s">
        <v>93</v>
      </c>
      <c r="C15" s="14" t="s">
        <v>269</v>
      </c>
      <c r="D15" s="13" t="s">
        <v>270</v>
      </c>
      <c r="F15" s="13">
        <v>613</v>
      </c>
      <c r="G15" s="3">
        <v>43836</v>
      </c>
      <c r="H15" s="13">
        <v>1</v>
      </c>
      <c r="I15" s="7">
        <f>1/110</f>
        <v>9.0909090909090905E-3</v>
      </c>
      <c r="J15" s="8">
        <f t="shared" si="1"/>
        <v>5.5727272727272723</v>
      </c>
      <c r="K15" s="13" t="s">
        <v>271</v>
      </c>
    </row>
    <row r="16" spans="1:11" ht="15.75" customHeight="1">
      <c r="A16" s="13" t="s">
        <v>272</v>
      </c>
      <c r="B16" s="13" t="s">
        <v>100</v>
      </c>
      <c r="F16" s="13">
        <v>47</v>
      </c>
      <c r="G16" s="3">
        <v>43836</v>
      </c>
      <c r="I16" s="7"/>
      <c r="J16" s="8"/>
    </row>
    <row r="17" spans="1:10" ht="15.75" customHeight="1">
      <c r="A17" s="13" t="s">
        <v>273</v>
      </c>
      <c r="B17" s="13" t="s">
        <v>100</v>
      </c>
      <c r="F17" s="13">
        <v>16</v>
      </c>
      <c r="G17" s="3">
        <v>43836</v>
      </c>
      <c r="I17" s="7"/>
      <c r="J17" s="8"/>
    </row>
    <row r="18" spans="1:10" ht="15.75" customHeight="1">
      <c r="A18" s="13" t="s">
        <v>274</v>
      </c>
      <c r="B18" s="13" t="s">
        <v>100</v>
      </c>
      <c r="F18" s="13">
        <v>8</v>
      </c>
      <c r="G18" s="3">
        <v>43836</v>
      </c>
      <c r="I18" s="7"/>
      <c r="J18" s="8"/>
    </row>
    <row r="19" spans="1:10" ht="15.75" customHeight="1">
      <c r="A19" s="13" t="s">
        <v>275</v>
      </c>
      <c r="B19" s="13" t="s">
        <v>100</v>
      </c>
      <c r="F19" s="13">
        <v>12</v>
      </c>
      <c r="G19" s="3">
        <v>43836</v>
      </c>
      <c r="I19" s="7"/>
      <c r="J19" s="8"/>
    </row>
    <row r="20" spans="1:10" ht="15.75" customHeight="1">
      <c r="A20" s="13" t="s">
        <v>276</v>
      </c>
      <c r="B20" s="13" t="s">
        <v>100</v>
      </c>
      <c r="F20" s="13">
        <v>16</v>
      </c>
      <c r="G20" s="3">
        <v>43836</v>
      </c>
      <c r="I20" s="7"/>
      <c r="J20" s="8"/>
    </row>
    <row r="21" spans="1:10" ht="15.75" customHeight="1">
      <c r="A21" s="13" t="s">
        <v>277</v>
      </c>
      <c r="B21" s="13" t="s">
        <v>100</v>
      </c>
      <c r="F21" s="13">
        <v>8</v>
      </c>
      <c r="G21" s="3">
        <v>43836</v>
      </c>
      <c r="I21" s="7"/>
      <c r="J21" s="8"/>
    </row>
    <row r="22" spans="1:10" ht="15.75" customHeight="1">
      <c r="E22" s="12" t="s">
        <v>278</v>
      </c>
      <c r="F22">
        <f>SUM(F3:F21)</f>
        <v>3732</v>
      </c>
      <c r="I22" s="1" t="s">
        <v>279</v>
      </c>
      <c r="J22" s="8">
        <f>SUM(J3,J6,J8,J9,J14/2)</f>
        <v>18.685500000000001</v>
      </c>
    </row>
    <row r="23" spans="1:10" ht="15.75" customHeight="1">
      <c r="I23" s="12" t="s">
        <v>280</v>
      </c>
      <c r="J23" s="8">
        <f>SUM(J3,J6,J8,J9,J10,J14,J15,J4,J5)</f>
        <v>29.278393939393943</v>
      </c>
    </row>
    <row r="24" spans="1:10" ht="15.75" customHeight="1">
      <c r="I24" s="1" t="s">
        <v>281</v>
      </c>
      <c r="J24">
        <f>32.25+5.57</f>
        <v>37.82</v>
      </c>
    </row>
    <row r="27" spans="1:10" ht="15.75" customHeight="1">
      <c r="A27" s="12" t="s">
        <v>104</v>
      </c>
      <c r="B27" s="12" t="s">
        <v>105</v>
      </c>
      <c r="C27" s="12" t="s">
        <v>282</v>
      </c>
      <c r="J27" s="8"/>
    </row>
    <row r="28" spans="1:10" ht="15.75" customHeight="1">
      <c r="A28" s="13">
        <v>1</v>
      </c>
      <c r="B28" s="13" t="s">
        <v>283</v>
      </c>
      <c r="C28" s="13">
        <v>1</v>
      </c>
      <c r="J28" s="8"/>
    </row>
    <row r="29" spans="1:10" ht="15.75" customHeight="1">
      <c r="A29" s="13">
        <v>2</v>
      </c>
      <c r="B29" s="13" t="s">
        <v>108</v>
      </c>
      <c r="C29" s="13">
        <v>2</v>
      </c>
    </row>
    <row r="30" spans="1:10" ht="15.75" customHeight="1">
      <c r="A30" s="13">
        <v>3</v>
      </c>
      <c r="B30" s="13" t="s">
        <v>109</v>
      </c>
      <c r="C30" s="13">
        <v>0.5</v>
      </c>
    </row>
    <row r="31" spans="1:10" ht="15.75" customHeight="1">
      <c r="A31" s="13">
        <v>4</v>
      </c>
      <c r="B31" s="13" t="s">
        <v>244</v>
      </c>
      <c r="C31" s="13">
        <v>3</v>
      </c>
    </row>
    <row r="32" spans="1:10" ht="15.75" customHeight="1">
      <c r="A32" s="13">
        <v>5</v>
      </c>
      <c r="B32" s="13" t="s">
        <v>284</v>
      </c>
      <c r="C32" s="13">
        <v>2</v>
      </c>
    </row>
    <row r="33" spans="1:3" ht="15.75" customHeight="1">
      <c r="A33" s="13">
        <v>6</v>
      </c>
      <c r="B33" s="13" t="s">
        <v>109</v>
      </c>
      <c r="C33" s="13">
        <v>0.5</v>
      </c>
    </row>
    <row r="34" spans="1:3" ht="15.75" customHeight="1">
      <c r="A34" s="13">
        <v>7</v>
      </c>
      <c r="B34" s="13" t="s">
        <v>285</v>
      </c>
      <c r="C34" s="13">
        <v>1.5</v>
      </c>
    </row>
    <row r="35" spans="1:3" ht="15.75" customHeight="1">
      <c r="A35" s="13">
        <v>8</v>
      </c>
      <c r="B35" s="13" t="s">
        <v>286</v>
      </c>
      <c r="C35" s="13">
        <v>1</v>
      </c>
    </row>
    <row r="36" spans="1:3" ht="15.75" customHeight="1">
      <c r="A36" s="13">
        <v>9</v>
      </c>
      <c r="B36" s="13" t="s">
        <v>287</v>
      </c>
      <c r="C36" s="13">
        <v>1.5</v>
      </c>
    </row>
    <row r="37" spans="1:3" ht="15.75" customHeight="1">
      <c r="A37" s="13">
        <v>10</v>
      </c>
      <c r="B37" s="13" t="s">
        <v>109</v>
      </c>
      <c r="C37" s="13">
        <v>0.5</v>
      </c>
    </row>
    <row r="38" spans="1:3" ht="15.75" customHeight="1">
      <c r="A38" s="13">
        <v>11</v>
      </c>
      <c r="B38" s="13" t="s">
        <v>288</v>
      </c>
      <c r="C38" s="13">
        <v>1</v>
      </c>
    </row>
    <row r="39" spans="1:3" ht="15.75" customHeight="1">
      <c r="A39" s="13">
        <v>12</v>
      </c>
      <c r="B39" s="13" t="s">
        <v>289</v>
      </c>
      <c r="C39" s="13">
        <v>0.5</v>
      </c>
    </row>
    <row r="40" spans="1:3" ht="15.75" customHeight="1">
      <c r="B40" s="12" t="s">
        <v>290</v>
      </c>
      <c r="C40">
        <f>SUM(C29,C30,C31,C32,C33,C34,C36,C37,C38)</f>
        <v>12.5</v>
      </c>
    </row>
    <row r="41" spans="1:3" ht="15.75" customHeight="1">
      <c r="B41" s="12" t="s">
        <v>291</v>
      </c>
      <c r="C41">
        <f>SUM(C28:C39)</f>
        <v>15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J85"/>
  <sheetViews>
    <sheetView zoomScale="125" zoomScaleNormal="125" zoomScalePageLayoutView="125" workbookViewId="0"/>
  </sheetViews>
  <sheetFormatPr defaultColWidth="14.42578125" defaultRowHeight="15.75" customHeight="1"/>
  <cols>
    <col min="1" max="1" width="40.7109375" customWidth="1"/>
    <col min="9" max="9" width="34.85546875" bestFit="1" customWidth="1"/>
  </cols>
  <sheetData>
    <row r="1" spans="1:10" ht="15.75" customHeight="1">
      <c r="A1" s="13" t="s">
        <v>292</v>
      </c>
    </row>
    <row r="2" spans="1:10" ht="15.75" customHeight="1">
      <c r="A2" s="1" t="s">
        <v>41</v>
      </c>
      <c r="B2" s="1" t="s">
        <v>42</v>
      </c>
      <c r="C2" s="1" t="s">
        <v>43</v>
      </c>
      <c r="D2" s="1" t="s">
        <v>44</v>
      </c>
      <c r="E2" s="1" t="s">
        <v>45</v>
      </c>
      <c r="F2" s="1" t="s">
        <v>46</v>
      </c>
      <c r="G2" s="1" t="s">
        <v>47</v>
      </c>
      <c r="H2" s="1" t="s">
        <v>48</v>
      </c>
      <c r="I2" s="1" t="s">
        <v>49</v>
      </c>
      <c r="J2" s="1" t="s">
        <v>50</v>
      </c>
    </row>
    <row r="3" spans="1:10" ht="15.75" customHeight="1">
      <c r="A3" s="14" t="s">
        <v>268</v>
      </c>
      <c r="B3" s="13" t="s">
        <v>93</v>
      </c>
      <c r="C3" s="14" t="s">
        <v>269</v>
      </c>
      <c r="D3" s="13" t="s">
        <v>270</v>
      </c>
      <c r="F3" s="13">
        <v>613</v>
      </c>
      <c r="G3" s="3">
        <v>43836</v>
      </c>
      <c r="H3" s="13" t="s">
        <v>96</v>
      </c>
      <c r="I3" s="7">
        <f>1/110</f>
        <v>9.0909090909090905E-3</v>
      </c>
      <c r="J3" s="8">
        <f t="shared" ref="J3:J20" si="0">F3*I3</f>
        <v>5.5727272727272723</v>
      </c>
    </row>
    <row r="4" spans="1:10" ht="15.75" customHeight="1">
      <c r="A4" s="14" t="s">
        <v>115</v>
      </c>
      <c r="B4" s="13" t="s">
        <v>82</v>
      </c>
      <c r="C4" s="14" t="s">
        <v>116</v>
      </c>
      <c r="D4" s="13" t="s">
        <v>117</v>
      </c>
      <c r="F4" s="13">
        <v>1240</v>
      </c>
      <c r="G4" s="3">
        <v>43836</v>
      </c>
      <c r="H4" s="13" t="s">
        <v>293</v>
      </c>
      <c r="I4" s="7">
        <f>446.4/60000</f>
        <v>7.4399999999999996E-3</v>
      </c>
      <c r="J4" s="8">
        <f t="shared" si="0"/>
        <v>9.2256</v>
      </c>
    </row>
    <row r="5" spans="1:10" ht="15.75" customHeight="1">
      <c r="A5" s="14" t="s">
        <v>119</v>
      </c>
      <c r="B5" s="13" t="s">
        <v>82</v>
      </c>
      <c r="C5" s="14" t="s">
        <v>83</v>
      </c>
      <c r="D5" s="13" t="s">
        <v>84</v>
      </c>
      <c r="F5" s="13">
        <v>780</v>
      </c>
      <c r="G5" s="3">
        <v>43836</v>
      </c>
      <c r="H5" s="13" t="s">
        <v>294</v>
      </c>
      <c r="I5" s="7">
        <f>284.4/40000</f>
        <v>7.1099999999999991E-3</v>
      </c>
      <c r="J5" s="8">
        <f t="shared" si="0"/>
        <v>5.545799999999999</v>
      </c>
    </row>
    <row r="6" spans="1:10" ht="15.75" customHeight="1">
      <c r="A6" s="13" t="s">
        <v>170</v>
      </c>
      <c r="B6" s="13" t="s">
        <v>66</v>
      </c>
      <c r="C6" s="14" t="s">
        <v>171</v>
      </c>
      <c r="D6" s="13" t="s">
        <v>73</v>
      </c>
      <c r="E6" s="13" t="s">
        <v>172</v>
      </c>
      <c r="F6" s="13">
        <v>481</v>
      </c>
      <c r="G6" s="3">
        <v>43836</v>
      </c>
      <c r="H6" s="13" t="s">
        <v>173</v>
      </c>
      <c r="I6" s="7">
        <f t="shared" ref="I6:I7" si="1">5/1000</f>
        <v>5.0000000000000001E-3</v>
      </c>
      <c r="J6" s="8">
        <f t="shared" si="0"/>
        <v>2.4050000000000002</v>
      </c>
    </row>
    <row r="7" spans="1:10" ht="15.75" customHeight="1">
      <c r="A7" s="13" t="s">
        <v>295</v>
      </c>
      <c r="B7" s="13" t="s">
        <v>66</v>
      </c>
      <c r="C7" s="14" t="s">
        <v>296</v>
      </c>
      <c r="D7" s="13" t="s">
        <v>73</v>
      </c>
      <c r="E7" s="13" t="s">
        <v>172</v>
      </c>
      <c r="F7" s="13">
        <v>550</v>
      </c>
      <c r="G7" s="3">
        <v>43837</v>
      </c>
      <c r="H7" s="13" t="s">
        <v>173</v>
      </c>
      <c r="I7" s="7">
        <f t="shared" si="1"/>
        <v>5.0000000000000001E-3</v>
      </c>
      <c r="J7" s="8">
        <f t="shared" si="0"/>
        <v>2.75</v>
      </c>
    </row>
    <row r="8" spans="1:10" ht="15.75" customHeight="1">
      <c r="A8" s="13" t="s">
        <v>140</v>
      </c>
      <c r="B8" s="13" t="s">
        <v>66</v>
      </c>
      <c r="C8" s="14">
        <v>18427013</v>
      </c>
      <c r="D8" s="13" t="s">
        <v>141</v>
      </c>
      <c r="E8" s="13" t="s">
        <v>142</v>
      </c>
      <c r="F8" s="13">
        <v>99</v>
      </c>
      <c r="G8" s="3">
        <v>43836</v>
      </c>
      <c r="H8" s="13" t="s">
        <v>80</v>
      </c>
      <c r="I8" s="7">
        <f>2/100</f>
        <v>0.02</v>
      </c>
      <c r="J8" s="8">
        <f t="shared" si="0"/>
        <v>1.98</v>
      </c>
    </row>
    <row r="9" spans="1:10" ht="15.75" customHeight="1">
      <c r="A9" s="13" t="s">
        <v>191</v>
      </c>
      <c r="B9" s="13" t="s">
        <v>66</v>
      </c>
      <c r="C9" s="14">
        <v>18080044</v>
      </c>
      <c r="D9" s="13" t="s">
        <v>67</v>
      </c>
      <c r="E9" s="13" t="s">
        <v>68</v>
      </c>
      <c r="F9" s="13">
        <v>372</v>
      </c>
      <c r="G9" s="3">
        <v>43836</v>
      </c>
      <c r="H9" s="13" t="s">
        <v>192</v>
      </c>
      <c r="I9" s="7">
        <f>3.8/50</f>
        <v>7.5999999999999998E-2</v>
      </c>
      <c r="J9" s="8">
        <f t="shared" si="0"/>
        <v>28.271999999999998</v>
      </c>
    </row>
    <row r="10" spans="1:10" ht="15.75" customHeight="1">
      <c r="A10" s="13" t="s">
        <v>297</v>
      </c>
      <c r="B10" s="13" t="s">
        <v>66</v>
      </c>
      <c r="C10" s="14" t="s">
        <v>298</v>
      </c>
      <c r="D10" s="13" t="s">
        <v>205</v>
      </c>
      <c r="E10" s="13" t="s">
        <v>299</v>
      </c>
      <c r="F10" s="13">
        <v>335</v>
      </c>
      <c r="G10" s="3">
        <v>43837</v>
      </c>
      <c r="H10" s="13" t="s">
        <v>300</v>
      </c>
      <c r="I10" s="7">
        <f>21/500</f>
        <v>4.2000000000000003E-2</v>
      </c>
      <c r="J10" s="8">
        <f t="shared" si="0"/>
        <v>14.07</v>
      </c>
    </row>
    <row r="11" spans="1:10" ht="15.75" customHeight="1">
      <c r="A11" s="14" t="s">
        <v>301</v>
      </c>
      <c r="B11" s="13" t="s">
        <v>66</v>
      </c>
      <c r="C11" s="14">
        <v>12223012</v>
      </c>
      <c r="D11" s="13" t="s">
        <v>205</v>
      </c>
      <c r="F11" s="13">
        <v>51</v>
      </c>
      <c r="G11" s="3">
        <v>43837</v>
      </c>
      <c r="H11" s="13" t="s">
        <v>302</v>
      </c>
      <c r="I11" s="7">
        <f>0.84/500</f>
        <v>1.6799999999999999E-3</v>
      </c>
      <c r="J11" s="8">
        <f t="shared" si="0"/>
        <v>8.5679999999999992E-2</v>
      </c>
    </row>
    <row r="12" spans="1:10" ht="15.75" customHeight="1">
      <c r="A12" s="14" t="s">
        <v>303</v>
      </c>
      <c r="B12" s="13" t="s">
        <v>66</v>
      </c>
      <c r="C12" s="14">
        <v>18021071</v>
      </c>
      <c r="D12" s="13" t="s">
        <v>304</v>
      </c>
      <c r="E12" s="13" t="s">
        <v>305</v>
      </c>
      <c r="F12" s="13">
        <v>504</v>
      </c>
      <c r="G12" s="3">
        <v>43837</v>
      </c>
      <c r="H12" s="13" t="s">
        <v>306</v>
      </c>
      <c r="I12" s="7">
        <f>3/60</f>
        <v>0.05</v>
      </c>
      <c r="J12" s="8">
        <f t="shared" si="0"/>
        <v>25.200000000000003</v>
      </c>
    </row>
    <row r="13" spans="1:10" ht="15.75" customHeight="1">
      <c r="A13" s="14" t="s">
        <v>147</v>
      </c>
      <c r="B13" s="13" t="s">
        <v>132</v>
      </c>
      <c r="C13" s="13" t="s">
        <v>148</v>
      </c>
      <c r="D13" s="13" t="s">
        <v>149</v>
      </c>
      <c r="E13" s="13" t="s">
        <v>150</v>
      </c>
      <c r="F13" s="13">
        <v>70</v>
      </c>
      <c r="G13" s="3">
        <v>43836</v>
      </c>
      <c r="H13" s="13" t="s">
        <v>136</v>
      </c>
      <c r="I13" s="7">
        <f>1/150</f>
        <v>6.6666666666666671E-3</v>
      </c>
      <c r="J13" s="8">
        <f t="shared" si="0"/>
        <v>0.46666666666666667</v>
      </c>
    </row>
    <row r="14" spans="1:10" ht="15.75" customHeight="1">
      <c r="A14" s="13" t="s">
        <v>206</v>
      </c>
      <c r="B14" s="13" t="s">
        <v>132</v>
      </c>
      <c r="C14" s="14" t="s">
        <v>207</v>
      </c>
      <c r="D14" s="13" t="s">
        <v>67</v>
      </c>
      <c r="E14" s="13" t="s">
        <v>208</v>
      </c>
      <c r="F14" s="13">
        <v>74</v>
      </c>
      <c r="G14" s="3">
        <v>43836</v>
      </c>
      <c r="H14" s="13" t="s">
        <v>80</v>
      </c>
      <c r="I14" s="7">
        <f>2/50</f>
        <v>0.04</v>
      </c>
      <c r="J14" s="8">
        <f t="shared" si="0"/>
        <v>2.96</v>
      </c>
    </row>
    <row r="15" spans="1:10" ht="15.75" customHeight="1">
      <c r="A15" s="13" t="s">
        <v>131</v>
      </c>
      <c r="B15" s="13" t="s">
        <v>132</v>
      </c>
      <c r="C15" s="14" t="s">
        <v>133</v>
      </c>
      <c r="D15" s="13" t="s">
        <v>134</v>
      </c>
      <c r="E15" s="13" t="s">
        <v>135</v>
      </c>
      <c r="F15" s="13">
        <v>103</v>
      </c>
      <c r="G15" s="3">
        <v>43836</v>
      </c>
      <c r="H15" s="13" t="s">
        <v>136</v>
      </c>
      <c r="I15" s="7">
        <f>1/10</f>
        <v>0.1</v>
      </c>
      <c r="J15" s="8">
        <f t="shared" si="0"/>
        <v>10.3</v>
      </c>
    </row>
    <row r="16" spans="1:10" ht="15.75" customHeight="1">
      <c r="A16" s="14" t="s">
        <v>202</v>
      </c>
      <c r="B16" s="13" t="s">
        <v>203</v>
      </c>
      <c r="C16" s="13" t="s">
        <v>204</v>
      </c>
      <c r="D16" s="13" t="s">
        <v>205</v>
      </c>
      <c r="E16" s="13" t="s">
        <v>55</v>
      </c>
      <c r="F16" s="13">
        <v>61</v>
      </c>
      <c r="G16" s="3">
        <v>43836</v>
      </c>
      <c r="H16" s="13" t="s">
        <v>136</v>
      </c>
      <c r="I16" s="7">
        <f>1/500</f>
        <v>2E-3</v>
      </c>
      <c r="J16" s="8">
        <f t="shared" si="0"/>
        <v>0.122</v>
      </c>
    </row>
    <row r="17" spans="1:10" ht="15.75" customHeight="1">
      <c r="A17" s="14" t="s">
        <v>179</v>
      </c>
      <c r="B17" s="13" t="s">
        <v>180</v>
      </c>
      <c r="C17" s="14" t="s">
        <v>181</v>
      </c>
      <c r="D17" s="13" t="s">
        <v>182</v>
      </c>
      <c r="E17" s="13" t="s">
        <v>183</v>
      </c>
      <c r="F17" s="13">
        <v>116</v>
      </c>
      <c r="G17" s="3">
        <v>43836</v>
      </c>
      <c r="H17" s="13" t="s">
        <v>306</v>
      </c>
      <c r="I17" s="7">
        <f>3/200</f>
        <v>1.4999999999999999E-2</v>
      </c>
      <c r="J17" s="8">
        <f t="shared" si="0"/>
        <v>1.74</v>
      </c>
    </row>
    <row r="18" spans="1:10" ht="15.75" customHeight="1">
      <c r="A18" s="14" t="s">
        <v>137</v>
      </c>
      <c r="B18" s="13" t="s">
        <v>138</v>
      </c>
      <c r="C18" s="14">
        <v>6023</v>
      </c>
      <c r="D18" s="13" t="s">
        <v>139</v>
      </c>
      <c r="F18" s="13">
        <v>199</v>
      </c>
      <c r="G18" s="3">
        <v>43836</v>
      </c>
      <c r="H18" s="13" t="s">
        <v>123</v>
      </c>
      <c r="I18" s="7">
        <f>2/100</f>
        <v>0.02</v>
      </c>
      <c r="J18" s="8">
        <f t="shared" si="0"/>
        <v>3.98</v>
      </c>
    </row>
    <row r="19" spans="1:10" ht="15.75" customHeight="1">
      <c r="A19" s="13" t="s">
        <v>143</v>
      </c>
      <c r="B19" s="13" t="s">
        <v>66</v>
      </c>
      <c r="C19" s="14">
        <v>65305</v>
      </c>
      <c r="D19" s="13" t="s">
        <v>144</v>
      </c>
      <c r="E19" s="13" t="s">
        <v>145</v>
      </c>
      <c r="F19" s="13">
        <v>548</v>
      </c>
      <c r="G19" s="3">
        <v>43836</v>
      </c>
      <c r="H19" s="13" t="s">
        <v>307</v>
      </c>
      <c r="I19" s="7">
        <f>15/2000</f>
        <v>7.4999999999999997E-3</v>
      </c>
      <c r="J19" s="8">
        <f t="shared" si="0"/>
        <v>4.1099999999999994</v>
      </c>
    </row>
    <row r="20" spans="1:10" ht="15.75" customHeight="1">
      <c r="A20" s="14" t="s">
        <v>308</v>
      </c>
      <c r="B20" s="13" t="s">
        <v>169</v>
      </c>
      <c r="C20" s="14">
        <v>203205</v>
      </c>
      <c r="D20" s="13" t="s">
        <v>182</v>
      </c>
      <c r="E20" s="13" t="s">
        <v>309</v>
      </c>
      <c r="F20" s="13">
        <v>538</v>
      </c>
      <c r="G20" s="3">
        <v>43837</v>
      </c>
      <c r="H20" s="13" t="s">
        <v>310</v>
      </c>
      <c r="I20" s="7">
        <f>0.38/200</f>
        <v>1.9E-3</v>
      </c>
      <c r="J20" s="8">
        <f t="shared" si="0"/>
        <v>1.0222</v>
      </c>
    </row>
    <row r="21" spans="1:10" ht="15.75" customHeight="1">
      <c r="A21" s="14" t="s">
        <v>311</v>
      </c>
      <c r="B21" s="13" t="s">
        <v>312</v>
      </c>
      <c r="C21" s="14">
        <v>3622614001</v>
      </c>
      <c r="D21" s="13" t="s">
        <v>313</v>
      </c>
      <c r="E21" s="13" t="s">
        <v>214</v>
      </c>
      <c r="F21" s="13">
        <v>1040</v>
      </c>
      <c r="G21" s="3">
        <v>43837</v>
      </c>
      <c r="I21" s="7"/>
      <c r="J21" s="8"/>
    </row>
    <row r="22" spans="1:10" ht="15.75" customHeight="1">
      <c r="A22" s="14" t="s">
        <v>199</v>
      </c>
      <c r="B22" s="13" t="s">
        <v>76</v>
      </c>
      <c r="C22" s="14" t="s">
        <v>200</v>
      </c>
      <c r="D22" s="13" t="s">
        <v>201</v>
      </c>
      <c r="F22" s="13">
        <v>111</v>
      </c>
      <c r="G22" s="3">
        <v>43836</v>
      </c>
      <c r="I22" s="7"/>
      <c r="J22" s="8"/>
    </row>
    <row r="23" spans="1:10" ht="15.75" customHeight="1">
      <c r="A23" s="14" t="s">
        <v>314</v>
      </c>
      <c r="B23" s="13" t="s">
        <v>180</v>
      </c>
      <c r="C23" s="14" t="s">
        <v>315</v>
      </c>
      <c r="D23" s="13" t="s">
        <v>316</v>
      </c>
      <c r="E23" s="13" t="s">
        <v>55</v>
      </c>
      <c r="F23" s="13">
        <v>53</v>
      </c>
      <c r="G23" s="3">
        <v>43837</v>
      </c>
      <c r="I23" s="7"/>
      <c r="J23" s="8"/>
    </row>
    <row r="24" spans="1:10" ht="15.75" customHeight="1">
      <c r="A24" s="14" t="s">
        <v>215</v>
      </c>
      <c r="B24" s="13" t="s">
        <v>66</v>
      </c>
      <c r="C24" s="14">
        <v>25530049</v>
      </c>
      <c r="D24" s="13" t="s">
        <v>216</v>
      </c>
      <c r="E24" s="13" t="s">
        <v>217</v>
      </c>
      <c r="F24" s="13">
        <v>166</v>
      </c>
      <c r="G24" s="3">
        <v>43837</v>
      </c>
      <c r="I24" s="7"/>
      <c r="J24" s="8"/>
    </row>
    <row r="25" spans="1:10" ht="15.75" customHeight="1">
      <c r="A25" s="13" t="s">
        <v>193</v>
      </c>
      <c r="B25" s="13" t="s">
        <v>194</v>
      </c>
      <c r="C25" s="14" t="s">
        <v>195</v>
      </c>
      <c r="D25" s="13" t="s">
        <v>196</v>
      </c>
      <c r="F25" s="13">
        <v>20</v>
      </c>
      <c r="G25" s="3">
        <v>43836</v>
      </c>
      <c r="I25" s="7"/>
      <c r="J25" s="8"/>
    </row>
    <row r="26" spans="1:10" ht="15.75" customHeight="1">
      <c r="A26" s="14" t="s">
        <v>197</v>
      </c>
      <c r="B26" s="13" t="s">
        <v>76</v>
      </c>
      <c r="C26" s="14" t="s">
        <v>198</v>
      </c>
      <c r="D26" s="13" t="s">
        <v>196</v>
      </c>
      <c r="F26" s="13">
        <v>128</v>
      </c>
      <c r="G26" s="3">
        <v>43836</v>
      </c>
      <c r="I26" s="7"/>
      <c r="J26" s="8"/>
    </row>
    <row r="27" spans="1:10" ht="15.75" customHeight="1">
      <c r="A27" s="14" t="s">
        <v>188</v>
      </c>
      <c r="B27" s="13" t="s">
        <v>76</v>
      </c>
      <c r="C27" s="14" t="s">
        <v>189</v>
      </c>
      <c r="D27" s="14" t="s">
        <v>190</v>
      </c>
      <c r="F27" s="13">
        <v>177</v>
      </c>
      <c r="G27" s="3">
        <v>43836</v>
      </c>
      <c r="I27" s="7"/>
      <c r="J27" s="8"/>
    </row>
    <row r="28" spans="1:10" ht="15.75" customHeight="1">
      <c r="A28" s="14" t="s">
        <v>126</v>
      </c>
      <c r="B28" s="13" t="s">
        <v>127</v>
      </c>
      <c r="C28" s="14" t="s">
        <v>128</v>
      </c>
      <c r="D28" s="13" t="s">
        <v>129</v>
      </c>
      <c r="F28" s="13">
        <v>131</v>
      </c>
      <c r="G28" s="3">
        <v>43836</v>
      </c>
      <c r="I28" s="7"/>
      <c r="J28" s="8"/>
    </row>
    <row r="29" spans="1:10" ht="15.75" customHeight="1">
      <c r="A29" s="14" t="s">
        <v>220</v>
      </c>
      <c r="B29" s="13" t="s">
        <v>100</v>
      </c>
      <c r="F29" s="13">
        <v>34</v>
      </c>
      <c r="G29" s="3">
        <v>43836</v>
      </c>
      <c r="I29" s="7"/>
      <c r="J29" s="8"/>
    </row>
    <row r="30" spans="1:10" ht="15.75" customHeight="1">
      <c r="A30" s="14" t="s">
        <v>317</v>
      </c>
      <c r="B30" s="13" t="s">
        <v>100</v>
      </c>
      <c r="F30" s="13">
        <v>100</v>
      </c>
      <c r="G30" s="3">
        <v>43837</v>
      </c>
      <c r="I30" s="7"/>
      <c r="J30" s="8"/>
    </row>
    <row r="31" spans="1:10" ht="15.75" customHeight="1">
      <c r="A31" s="14" t="s">
        <v>318</v>
      </c>
      <c r="B31" s="13" t="s">
        <v>100</v>
      </c>
      <c r="F31" s="13">
        <v>7</v>
      </c>
      <c r="G31" s="3">
        <v>43837</v>
      </c>
      <c r="I31" s="7"/>
      <c r="J31" s="8"/>
    </row>
    <row r="32" spans="1:10" ht="15.75" customHeight="1">
      <c r="A32" s="14" t="s">
        <v>319</v>
      </c>
      <c r="B32" s="13" t="s">
        <v>100</v>
      </c>
      <c r="F32" s="13">
        <v>7</v>
      </c>
      <c r="G32" s="3">
        <v>43837</v>
      </c>
      <c r="I32" s="7"/>
      <c r="J32" s="8"/>
    </row>
    <row r="33" spans="1:10" ht="15.75" customHeight="1">
      <c r="A33" s="14" t="s">
        <v>320</v>
      </c>
      <c r="B33" s="13" t="s">
        <v>100</v>
      </c>
      <c r="F33" s="13">
        <v>7</v>
      </c>
      <c r="G33" s="3">
        <v>43837</v>
      </c>
      <c r="I33" s="7"/>
      <c r="J33" s="8"/>
    </row>
    <row r="34" spans="1:10" ht="15.75" customHeight="1">
      <c r="A34" s="14" t="s">
        <v>321</v>
      </c>
      <c r="B34" s="13" t="s">
        <v>100</v>
      </c>
      <c r="F34" s="13">
        <v>7</v>
      </c>
      <c r="G34" s="3">
        <v>43837</v>
      </c>
      <c r="I34" s="7"/>
      <c r="J34" s="8"/>
    </row>
    <row r="35" spans="1:10" ht="15.75" customHeight="1">
      <c r="A35" s="14" t="s">
        <v>322</v>
      </c>
      <c r="B35" s="13" t="s">
        <v>100</v>
      </c>
      <c r="F35" s="13">
        <v>40</v>
      </c>
      <c r="G35" s="3">
        <v>43836</v>
      </c>
      <c r="I35" s="7"/>
      <c r="J35" s="8"/>
    </row>
    <row r="36" spans="1:10" ht="15.75" customHeight="1">
      <c r="A36" s="14" t="s">
        <v>323</v>
      </c>
      <c r="B36" s="13" t="s">
        <v>100</v>
      </c>
      <c r="F36" s="13">
        <v>40</v>
      </c>
      <c r="G36" s="3">
        <v>43836</v>
      </c>
      <c r="I36" s="7"/>
      <c r="J36" s="8"/>
    </row>
    <row r="37" spans="1:10" ht="15.75" customHeight="1">
      <c r="A37" s="14" t="s">
        <v>324</v>
      </c>
      <c r="B37" s="13" t="s">
        <v>100</v>
      </c>
      <c r="F37" s="13">
        <v>57</v>
      </c>
      <c r="G37" s="3">
        <v>43836</v>
      </c>
      <c r="I37" s="7"/>
      <c r="J37" s="8"/>
    </row>
    <row r="38" spans="1:10" ht="15.75" customHeight="1">
      <c r="A38" s="14" t="s">
        <v>325</v>
      </c>
      <c r="B38" s="13" t="s">
        <v>100</v>
      </c>
      <c r="F38" s="13">
        <v>170</v>
      </c>
      <c r="G38" s="3">
        <v>43836</v>
      </c>
      <c r="I38" s="7"/>
      <c r="J38" s="8"/>
    </row>
    <row r="39" spans="1:10" ht="15.75" customHeight="1">
      <c r="A39" s="14" t="s">
        <v>326</v>
      </c>
      <c r="B39" s="13" t="s">
        <v>100</v>
      </c>
      <c r="F39" s="13">
        <v>21</v>
      </c>
      <c r="G39" s="3">
        <v>43836</v>
      </c>
      <c r="I39" s="7"/>
      <c r="J39" s="8"/>
    </row>
    <row r="40" spans="1:10" ht="15.75" customHeight="1">
      <c r="A40" s="14" t="s">
        <v>226</v>
      </c>
      <c r="B40" s="13" t="s">
        <v>100</v>
      </c>
      <c r="F40" s="13">
        <v>21</v>
      </c>
      <c r="G40" s="3">
        <v>43836</v>
      </c>
      <c r="I40" s="7"/>
      <c r="J40" s="8"/>
    </row>
    <row r="41" spans="1:10" ht="15.75" customHeight="1">
      <c r="E41" s="12" t="s">
        <v>32</v>
      </c>
      <c r="F41">
        <f>SUM(F3:F40)</f>
        <v>9071</v>
      </c>
      <c r="I41" s="1" t="s">
        <v>33</v>
      </c>
      <c r="J41" s="8">
        <f>SUM(J3:J9,J12,J13,J13:J19)</f>
        <v>105.0964606060606</v>
      </c>
    </row>
    <row r="42" spans="1:10" ht="15.75" customHeight="1">
      <c r="I42" s="1" t="s">
        <v>327</v>
      </c>
      <c r="J42" s="8">
        <f>SUM(J3:J40)</f>
        <v>119.80767393939392</v>
      </c>
    </row>
    <row r="45" spans="1:10" ht="15.75" customHeight="1">
      <c r="A45" s="12" t="s">
        <v>104</v>
      </c>
      <c r="B45" s="12" t="s">
        <v>105</v>
      </c>
      <c r="C45" s="12" t="s">
        <v>106</v>
      </c>
    </row>
    <row r="46" spans="1:10" ht="15.75" customHeight="1">
      <c r="A46" s="13">
        <v>1</v>
      </c>
      <c r="B46" s="15" t="s">
        <v>108</v>
      </c>
      <c r="C46" s="13">
        <v>1.5</v>
      </c>
    </row>
    <row r="47" spans="1:10" ht="15.75" customHeight="1">
      <c r="A47" s="13">
        <v>2</v>
      </c>
      <c r="B47" s="15" t="s">
        <v>109</v>
      </c>
      <c r="C47" s="13">
        <v>0.75</v>
      </c>
    </row>
    <row r="48" spans="1:10" ht="15.75" customHeight="1">
      <c r="A48" s="13">
        <v>3</v>
      </c>
      <c r="B48" s="15" t="s">
        <v>232</v>
      </c>
      <c r="C48" s="13">
        <v>1</v>
      </c>
    </row>
    <row r="49" spans="1:4" ht="15.75" customHeight="1">
      <c r="A49" s="13">
        <v>4</v>
      </c>
      <c r="B49" s="15" t="s">
        <v>109</v>
      </c>
      <c r="C49" s="13">
        <v>0.75</v>
      </c>
    </row>
    <row r="50" spans="1:4" ht="15.75" customHeight="1">
      <c r="A50" s="13">
        <v>5</v>
      </c>
      <c r="B50" s="15" t="s">
        <v>233</v>
      </c>
      <c r="C50" s="15">
        <v>2.25</v>
      </c>
    </row>
    <row r="51" spans="1:4" ht="15.75" customHeight="1">
      <c r="A51" s="13">
        <v>6</v>
      </c>
      <c r="B51" s="15" t="s">
        <v>109</v>
      </c>
      <c r="C51" s="13">
        <v>0.75</v>
      </c>
    </row>
    <row r="52" spans="1:4" ht="15.75" customHeight="1">
      <c r="A52" s="13">
        <v>7</v>
      </c>
      <c r="B52" s="15" t="s">
        <v>234</v>
      </c>
      <c r="C52" s="15">
        <v>0.5</v>
      </c>
    </row>
    <row r="53" spans="1:4" ht="15.75" customHeight="1">
      <c r="A53" s="13">
        <v>8</v>
      </c>
      <c r="B53" s="15" t="s">
        <v>235</v>
      </c>
      <c r="C53" s="15">
        <v>1</v>
      </c>
    </row>
    <row r="54" spans="1:4" ht="15.75" customHeight="1">
      <c r="A54" s="13">
        <v>9</v>
      </c>
      <c r="B54" s="15" t="s">
        <v>236</v>
      </c>
      <c r="C54" s="15">
        <v>1</v>
      </c>
    </row>
    <row r="55" spans="1:4" ht="15.75" customHeight="1">
      <c r="A55" s="13">
        <v>10</v>
      </c>
      <c r="B55" s="15" t="s">
        <v>109</v>
      </c>
      <c r="C55" s="13">
        <v>0.75</v>
      </c>
    </row>
    <row r="56" spans="1:4" ht="15.75" customHeight="1">
      <c r="A56" s="13">
        <v>11</v>
      </c>
      <c r="B56" s="15" t="s">
        <v>234</v>
      </c>
      <c r="C56" s="15">
        <v>0.75</v>
      </c>
    </row>
    <row r="57" spans="1:4" ht="15.75" customHeight="1">
      <c r="A57" s="13">
        <v>12</v>
      </c>
      <c r="B57" s="15" t="s">
        <v>109</v>
      </c>
      <c r="C57" s="13">
        <v>0.75</v>
      </c>
    </row>
    <row r="58" spans="1:4" ht="15.75" customHeight="1">
      <c r="A58" s="13">
        <v>13</v>
      </c>
      <c r="B58" s="15" t="s">
        <v>328</v>
      </c>
      <c r="C58" s="13">
        <v>0.5</v>
      </c>
    </row>
    <row r="59" spans="1:4" ht="15.75" customHeight="1">
      <c r="A59" s="13">
        <v>14</v>
      </c>
      <c r="B59" s="15" t="s">
        <v>244</v>
      </c>
      <c r="C59" s="13">
        <v>3</v>
      </c>
    </row>
    <row r="60" spans="1:4" ht="15.75" customHeight="1">
      <c r="A60" s="13">
        <v>15</v>
      </c>
      <c r="B60" s="15" t="s">
        <v>237</v>
      </c>
      <c r="C60" s="13">
        <v>0.5</v>
      </c>
      <c r="D60" s="13" t="s">
        <v>238</v>
      </c>
    </row>
    <row r="61" spans="1:4" ht="15.75" customHeight="1">
      <c r="A61" s="13">
        <v>16</v>
      </c>
      <c r="B61" s="15" t="s">
        <v>109</v>
      </c>
      <c r="C61" s="15">
        <v>0.75</v>
      </c>
    </row>
    <row r="62" spans="1:4" ht="15.75" customHeight="1">
      <c r="A62" s="13">
        <v>17</v>
      </c>
      <c r="B62" s="15" t="s">
        <v>329</v>
      </c>
      <c r="C62" s="13">
        <v>1.25</v>
      </c>
    </row>
    <row r="63" spans="1:4" ht="15.75" customHeight="1">
      <c r="A63" s="13">
        <v>18</v>
      </c>
      <c r="B63" s="15" t="s">
        <v>109</v>
      </c>
      <c r="C63" s="13">
        <v>0.75</v>
      </c>
    </row>
    <row r="64" spans="1:4" ht="15.75" customHeight="1">
      <c r="A64" s="13">
        <v>19</v>
      </c>
      <c r="B64" s="15" t="s">
        <v>241</v>
      </c>
      <c r="C64" s="15">
        <v>1</v>
      </c>
    </row>
    <row r="65" spans="1:4" ht="15.75" customHeight="1">
      <c r="A65" s="13">
        <v>20</v>
      </c>
      <c r="B65" s="16" t="s">
        <v>242</v>
      </c>
      <c r="C65" s="13">
        <v>0.5</v>
      </c>
    </row>
    <row r="66" spans="1:4" ht="15.75" customHeight="1">
      <c r="A66" s="13">
        <v>21</v>
      </c>
      <c r="B66" s="15" t="s">
        <v>109</v>
      </c>
      <c r="C66" s="13">
        <v>0.75</v>
      </c>
    </row>
    <row r="67" spans="1:4" ht="15.75" customHeight="1">
      <c r="A67" s="13">
        <v>22</v>
      </c>
      <c r="B67" s="15" t="s">
        <v>288</v>
      </c>
      <c r="C67" s="13">
        <v>0.5</v>
      </c>
    </row>
    <row r="68" spans="1:4" ht="15.75" customHeight="1">
      <c r="A68" s="13">
        <v>23</v>
      </c>
      <c r="B68" s="15" t="s">
        <v>246</v>
      </c>
      <c r="C68" s="13">
        <v>0.5</v>
      </c>
    </row>
    <row r="69" spans="1:4" ht="15.75" customHeight="1">
      <c r="B69" s="1" t="s">
        <v>113</v>
      </c>
      <c r="C69">
        <f>SUM(C46:C68)</f>
        <v>21.75</v>
      </c>
      <c r="D69" s="13" t="s">
        <v>238</v>
      </c>
    </row>
    <row r="70" spans="1:4" ht="15.75" customHeight="1">
      <c r="B70" s="15"/>
    </row>
    <row r="71" spans="1:4" ht="15.75" customHeight="1">
      <c r="B71" s="15"/>
    </row>
    <row r="72" spans="1:4" ht="15.75" customHeight="1">
      <c r="B72" s="15"/>
    </row>
    <row r="73" spans="1:4" ht="15.75" customHeight="1">
      <c r="B73" s="15"/>
    </row>
    <row r="74" spans="1:4" ht="15.75" customHeight="1">
      <c r="B74" s="15"/>
    </row>
    <row r="75" spans="1:4" ht="15.75" customHeight="1">
      <c r="B75" s="15"/>
    </row>
    <row r="76" spans="1:4" ht="15.75" customHeight="1">
      <c r="B76" s="15"/>
    </row>
    <row r="77" spans="1:4" ht="15.75" customHeight="1">
      <c r="B77" s="15"/>
    </row>
    <row r="78" spans="1:4" ht="15.75" customHeight="1">
      <c r="B78" s="15"/>
    </row>
    <row r="79" spans="1:4" ht="15.75" customHeight="1">
      <c r="B79" s="15"/>
    </row>
    <row r="80" spans="1:4" ht="15.75" customHeight="1">
      <c r="B80" s="15"/>
    </row>
    <row r="81" spans="2:2" ht="15.75" customHeight="1">
      <c r="B81" s="15"/>
    </row>
    <row r="82" spans="2:2" ht="15.75" customHeight="1">
      <c r="B82" s="15"/>
    </row>
    <row r="83" spans="2:2" ht="15.75" customHeight="1">
      <c r="B83" s="15"/>
    </row>
    <row r="84" spans="2:2" ht="15.75" customHeight="1">
      <c r="B84" s="15"/>
    </row>
    <row r="85" spans="2:2" ht="15.75" customHeight="1">
      <c r="B85" s="15"/>
    </row>
  </sheetData>
  <hyperlinks>
    <hyperlink ref="C12" r:id="rId1" display="https://www.thermofisher.com/order/catalog/product/18021071" xr:uid="{00000000-0004-0000-0500-000000000000}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K42"/>
  <sheetViews>
    <sheetView zoomScale="125" zoomScaleNormal="125" zoomScalePageLayoutView="125" workbookViewId="0"/>
  </sheetViews>
  <sheetFormatPr defaultColWidth="14.42578125" defaultRowHeight="15.75" customHeight="1"/>
  <cols>
    <col min="1" max="1" width="45" customWidth="1"/>
    <col min="2" max="2" width="19.42578125" customWidth="1"/>
    <col min="9" max="9" width="28" customWidth="1"/>
    <col min="10" max="10" width="18.42578125" customWidth="1"/>
    <col min="11" max="11" width="15.85546875" customWidth="1"/>
  </cols>
  <sheetData>
    <row r="1" spans="1:11" ht="15.75" customHeight="1">
      <c r="A1" s="13" t="s">
        <v>330</v>
      </c>
    </row>
    <row r="2" spans="1:11" ht="15.75" customHeight="1">
      <c r="A2" s="1" t="s">
        <v>41</v>
      </c>
      <c r="B2" s="1" t="s">
        <v>42</v>
      </c>
      <c r="C2" s="1" t="s">
        <v>43</v>
      </c>
      <c r="D2" s="1" t="s">
        <v>44</v>
      </c>
      <c r="E2" s="1" t="s">
        <v>45</v>
      </c>
      <c r="F2" s="1" t="s">
        <v>46</v>
      </c>
      <c r="G2" s="1" t="s">
        <v>47</v>
      </c>
      <c r="H2" s="1" t="s">
        <v>48</v>
      </c>
      <c r="I2" s="1" t="s">
        <v>49</v>
      </c>
      <c r="J2" s="1" t="s">
        <v>50</v>
      </c>
    </row>
    <row r="3" spans="1:11" ht="15.75" customHeight="1">
      <c r="A3" s="13" t="s">
        <v>51</v>
      </c>
      <c r="B3" s="13" t="s">
        <v>52</v>
      </c>
      <c r="C3" s="13" t="s">
        <v>53</v>
      </c>
      <c r="D3" s="13" t="s">
        <v>54</v>
      </c>
      <c r="E3" s="13" t="s">
        <v>55</v>
      </c>
      <c r="F3" s="13">
        <v>218</v>
      </c>
      <c r="G3" s="3">
        <v>43836</v>
      </c>
      <c r="H3" s="13" t="s">
        <v>306</v>
      </c>
      <c r="I3" s="6">
        <f>3/40</f>
        <v>7.4999999999999997E-2</v>
      </c>
      <c r="J3" s="8">
        <f t="shared" ref="J3:J6" si="0">F3*I3</f>
        <v>16.349999999999998</v>
      </c>
      <c r="K3" s="13" t="s">
        <v>253</v>
      </c>
    </row>
    <row r="4" spans="1:11" ht="15.75" customHeight="1">
      <c r="A4" s="14" t="s">
        <v>191</v>
      </c>
      <c r="B4" s="14" t="s">
        <v>66</v>
      </c>
      <c r="C4" s="14">
        <v>18080044</v>
      </c>
      <c r="D4" s="13" t="s">
        <v>331</v>
      </c>
      <c r="E4" s="13" t="s">
        <v>68</v>
      </c>
      <c r="F4" s="13">
        <v>1320</v>
      </c>
      <c r="G4" s="3">
        <v>43836</v>
      </c>
      <c r="H4" s="13" t="s">
        <v>332</v>
      </c>
      <c r="I4" s="7">
        <f>4/200</f>
        <v>0.02</v>
      </c>
      <c r="J4" s="8">
        <f t="shared" si="0"/>
        <v>26.400000000000002</v>
      </c>
      <c r="K4" s="13" t="s">
        <v>253</v>
      </c>
    </row>
    <row r="5" spans="1:11" ht="15.75" customHeight="1">
      <c r="A5" s="13" t="s">
        <v>140</v>
      </c>
      <c r="B5" s="13" t="s">
        <v>66</v>
      </c>
      <c r="C5" s="14">
        <v>18427013</v>
      </c>
      <c r="D5" s="13" t="s">
        <v>141</v>
      </c>
      <c r="E5" s="13" t="s">
        <v>142</v>
      </c>
      <c r="F5" s="13">
        <v>99</v>
      </c>
      <c r="G5" s="3">
        <v>43836</v>
      </c>
      <c r="H5" s="13" t="s">
        <v>333</v>
      </c>
      <c r="I5" s="7">
        <f>9.9/100</f>
        <v>9.9000000000000005E-2</v>
      </c>
      <c r="J5" s="8">
        <f t="shared" si="0"/>
        <v>9.8010000000000002</v>
      </c>
      <c r="K5" s="13" t="s">
        <v>253</v>
      </c>
    </row>
    <row r="6" spans="1:11" ht="15.75" customHeight="1">
      <c r="A6" s="13" t="s">
        <v>75</v>
      </c>
      <c r="B6" s="13" t="s">
        <v>76</v>
      </c>
      <c r="C6" s="14" t="s">
        <v>77</v>
      </c>
      <c r="D6" s="13" t="s">
        <v>78</v>
      </c>
      <c r="E6" s="13" t="s">
        <v>79</v>
      </c>
      <c r="F6" s="13">
        <v>26</v>
      </c>
      <c r="G6" s="3">
        <v>43836</v>
      </c>
      <c r="H6" s="13" t="s">
        <v>334</v>
      </c>
      <c r="I6" s="7">
        <f>5.6/1500</f>
        <v>3.7333333333333333E-3</v>
      </c>
      <c r="J6" s="8">
        <f t="shared" si="0"/>
        <v>9.7066666666666662E-2</v>
      </c>
      <c r="K6" s="13" t="s">
        <v>253</v>
      </c>
    </row>
    <row r="7" spans="1:11" ht="15.75" customHeight="1">
      <c r="A7" s="13" t="s">
        <v>193</v>
      </c>
      <c r="B7" s="13" t="s">
        <v>194</v>
      </c>
      <c r="C7" s="14" t="s">
        <v>195</v>
      </c>
      <c r="D7" s="13" t="s">
        <v>196</v>
      </c>
      <c r="F7" s="13">
        <v>20</v>
      </c>
      <c r="G7" s="3">
        <v>43836</v>
      </c>
      <c r="I7" s="7"/>
      <c r="J7" s="8"/>
    </row>
    <row r="8" spans="1:11" ht="15.75" customHeight="1">
      <c r="A8" s="14" t="s">
        <v>197</v>
      </c>
      <c r="B8" s="13" t="s">
        <v>76</v>
      </c>
      <c r="C8" s="14" t="s">
        <v>198</v>
      </c>
      <c r="D8" s="13" t="s">
        <v>196</v>
      </c>
      <c r="F8" s="13">
        <v>128</v>
      </c>
      <c r="G8" s="3">
        <v>43836</v>
      </c>
      <c r="I8" s="7"/>
      <c r="J8" s="8"/>
    </row>
    <row r="9" spans="1:11" ht="15.75" customHeight="1">
      <c r="A9" s="13" t="s">
        <v>335</v>
      </c>
      <c r="B9" s="13" t="s">
        <v>203</v>
      </c>
      <c r="C9" s="14">
        <v>4367659</v>
      </c>
      <c r="D9" s="13" t="s">
        <v>216</v>
      </c>
      <c r="E9" s="13" t="s">
        <v>90</v>
      </c>
      <c r="F9" s="13">
        <v>377</v>
      </c>
      <c r="G9" s="3">
        <v>43836</v>
      </c>
      <c r="H9" s="13" t="s">
        <v>134</v>
      </c>
      <c r="I9" s="7">
        <f>10/5000</f>
        <v>2E-3</v>
      </c>
      <c r="J9" s="8">
        <f t="shared" ref="J9:J11" si="1">F9*I9</f>
        <v>0.754</v>
      </c>
      <c r="K9" s="13" t="s">
        <v>253</v>
      </c>
    </row>
    <row r="10" spans="1:11" ht="15.75" customHeight="1">
      <c r="A10" s="14" t="s">
        <v>119</v>
      </c>
      <c r="B10" s="13" t="s">
        <v>82</v>
      </c>
      <c r="C10" s="14" t="s">
        <v>83</v>
      </c>
      <c r="D10" s="13" t="s">
        <v>84</v>
      </c>
      <c r="F10" s="13">
        <v>780</v>
      </c>
      <c r="G10" s="3">
        <v>43836</v>
      </c>
      <c r="H10" s="13" t="s">
        <v>336</v>
      </c>
      <c r="I10" s="7">
        <f>361/40000</f>
        <v>9.025E-3</v>
      </c>
      <c r="J10" s="8">
        <f t="shared" si="1"/>
        <v>7.0395000000000003</v>
      </c>
      <c r="K10" s="13" t="s">
        <v>337</v>
      </c>
    </row>
    <row r="11" spans="1:11" ht="15.75" customHeight="1">
      <c r="A11" s="14" t="s">
        <v>115</v>
      </c>
      <c r="B11" s="13" t="s">
        <v>82</v>
      </c>
      <c r="C11" s="14" t="s">
        <v>116</v>
      </c>
      <c r="D11" s="13" t="s">
        <v>117</v>
      </c>
      <c r="F11" s="13">
        <v>1240</v>
      </c>
      <c r="G11" s="3">
        <v>43836</v>
      </c>
      <c r="H11" s="13" t="s">
        <v>338</v>
      </c>
      <c r="I11" s="6">
        <f>262/60000</f>
        <v>4.3666666666666663E-3</v>
      </c>
      <c r="J11" s="8">
        <f t="shared" si="1"/>
        <v>5.4146666666666663</v>
      </c>
    </row>
    <row r="12" spans="1:11" ht="15.75" customHeight="1">
      <c r="A12" s="13" t="s">
        <v>188</v>
      </c>
      <c r="B12" s="13" t="s">
        <v>76</v>
      </c>
      <c r="C12" s="14" t="s">
        <v>339</v>
      </c>
      <c r="D12" s="13" t="s">
        <v>340</v>
      </c>
      <c r="F12" s="13">
        <v>41</v>
      </c>
      <c r="G12" s="3">
        <v>43836</v>
      </c>
      <c r="I12" s="7"/>
      <c r="J12" s="8"/>
    </row>
    <row r="13" spans="1:11" ht="15.75" customHeight="1">
      <c r="A13" s="14" t="s">
        <v>126</v>
      </c>
      <c r="B13" s="13" t="s">
        <v>127</v>
      </c>
      <c r="C13" s="14" t="s">
        <v>128</v>
      </c>
      <c r="D13" s="13" t="s">
        <v>129</v>
      </c>
      <c r="F13" s="13">
        <v>131</v>
      </c>
      <c r="G13" s="3">
        <v>43836</v>
      </c>
      <c r="H13" s="13" t="s">
        <v>341</v>
      </c>
      <c r="I13" s="7">
        <f>4.2/50</f>
        <v>8.4000000000000005E-2</v>
      </c>
      <c r="J13" s="8">
        <f>F13*I13</f>
        <v>11.004000000000001</v>
      </c>
    </row>
    <row r="14" spans="1:11" ht="15.75" customHeight="1">
      <c r="A14" s="14" t="s">
        <v>342</v>
      </c>
      <c r="B14" s="13" t="s">
        <v>76</v>
      </c>
      <c r="C14" s="14" t="s">
        <v>343</v>
      </c>
      <c r="D14" s="13" t="s">
        <v>60</v>
      </c>
      <c r="F14" s="13">
        <v>80</v>
      </c>
      <c r="G14" s="3">
        <v>43836</v>
      </c>
      <c r="I14" s="7"/>
      <c r="J14" s="8"/>
    </row>
    <row r="15" spans="1:11" ht="15.75" customHeight="1">
      <c r="A15" s="13" t="s">
        <v>179</v>
      </c>
      <c r="B15" s="13" t="s">
        <v>180</v>
      </c>
      <c r="C15" s="14" t="s">
        <v>181</v>
      </c>
      <c r="D15" s="13" t="s">
        <v>344</v>
      </c>
      <c r="E15" s="13" t="s">
        <v>345</v>
      </c>
      <c r="F15" s="13">
        <v>116</v>
      </c>
      <c r="G15" s="3">
        <v>43836</v>
      </c>
      <c r="H15" s="13" t="s">
        <v>173</v>
      </c>
      <c r="I15" s="6">
        <f>5/100</f>
        <v>0.05</v>
      </c>
      <c r="J15" s="8">
        <f t="shared" ref="J15:J16" si="2">F15*I15</f>
        <v>5.8000000000000007</v>
      </c>
    </row>
    <row r="16" spans="1:11" ht="15.75" customHeight="1">
      <c r="A16" s="13" t="s">
        <v>346</v>
      </c>
      <c r="B16" s="13" t="s">
        <v>347</v>
      </c>
      <c r="C16" s="14" t="s">
        <v>348</v>
      </c>
      <c r="D16" s="13" t="s">
        <v>144</v>
      </c>
      <c r="E16" s="13" t="s">
        <v>145</v>
      </c>
      <c r="F16" s="13">
        <v>250</v>
      </c>
      <c r="G16" s="3">
        <v>43836</v>
      </c>
      <c r="H16" s="13" t="s">
        <v>141</v>
      </c>
      <c r="I16" s="7">
        <f>100/2000</f>
        <v>0.05</v>
      </c>
      <c r="J16" s="8">
        <f t="shared" si="2"/>
        <v>12.5</v>
      </c>
    </row>
    <row r="17" spans="1:10" ht="15.75" customHeight="1">
      <c r="A17" s="14" t="s">
        <v>199</v>
      </c>
      <c r="B17" s="13" t="s">
        <v>76</v>
      </c>
      <c r="C17" s="14" t="s">
        <v>200</v>
      </c>
      <c r="D17" s="13" t="s">
        <v>201</v>
      </c>
      <c r="F17" s="13">
        <v>111</v>
      </c>
      <c r="G17" s="3">
        <v>43836</v>
      </c>
      <c r="I17" s="7"/>
      <c r="J17" s="8"/>
    </row>
    <row r="18" spans="1:10" ht="15.75" customHeight="1">
      <c r="A18" s="13" t="s">
        <v>349</v>
      </c>
      <c r="B18" s="13" t="s">
        <v>138</v>
      </c>
      <c r="C18" s="14" t="s">
        <v>350</v>
      </c>
      <c r="D18" s="13" t="s">
        <v>67</v>
      </c>
      <c r="E18" s="13" t="s">
        <v>309</v>
      </c>
      <c r="F18" s="13">
        <v>175</v>
      </c>
      <c r="G18" s="3">
        <v>43836</v>
      </c>
      <c r="H18" s="13" t="s">
        <v>136</v>
      </c>
      <c r="I18" s="7">
        <f>1/50</f>
        <v>0.02</v>
      </c>
      <c r="J18" s="8">
        <f t="shared" ref="J18:J19" si="3">F18*I18</f>
        <v>3.5</v>
      </c>
    </row>
    <row r="19" spans="1:10" ht="15.75" customHeight="1">
      <c r="A19" s="14" t="s">
        <v>268</v>
      </c>
      <c r="B19" s="13" t="s">
        <v>93</v>
      </c>
      <c r="C19" s="14" t="s">
        <v>269</v>
      </c>
      <c r="D19" s="13" t="s">
        <v>270</v>
      </c>
      <c r="F19" s="13">
        <v>613</v>
      </c>
      <c r="G19" s="3">
        <v>43836</v>
      </c>
      <c r="H19" s="13">
        <v>1</v>
      </c>
      <c r="I19" s="7">
        <f>1/110</f>
        <v>9.0909090909090905E-3</v>
      </c>
      <c r="J19" s="8">
        <f t="shared" si="3"/>
        <v>5.5727272727272723</v>
      </c>
    </row>
    <row r="20" spans="1:10" ht="15.75" customHeight="1">
      <c r="A20" s="13" t="s">
        <v>351</v>
      </c>
      <c r="B20" s="13" t="s">
        <v>100</v>
      </c>
      <c r="F20" s="13">
        <v>40</v>
      </c>
      <c r="G20" s="3">
        <v>43836</v>
      </c>
      <c r="I20" s="7"/>
      <c r="J20" s="8"/>
    </row>
    <row r="21" spans="1:10" ht="15.75" customHeight="1">
      <c r="A21" s="13" t="s">
        <v>352</v>
      </c>
      <c r="B21" s="13" t="s">
        <v>100</v>
      </c>
      <c r="F21" s="13">
        <v>19</v>
      </c>
      <c r="G21" s="3">
        <v>43836</v>
      </c>
      <c r="I21" s="7"/>
      <c r="J21" s="8"/>
    </row>
    <row r="22" spans="1:10" ht="15.75" customHeight="1">
      <c r="A22" s="14" t="s">
        <v>353</v>
      </c>
      <c r="B22" s="13" t="s">
        <v>100</v>
      </c>
      <c r="F22" s="13">
        <v>16</v>
      </c>
      <c r="G22" s="3">
        <v>43836</v>
      </c>
      <c r="I22" s="7"/>
      <c r="J22" s="8"/>
    </row>
    <row r="23" spans="1:10" ht="15.75" customHeight="1">
      <c r="A23" s="14" t="s">
        <v>354</v>
      </c>
      <c r="B23" s="13" t="s">
        <v>100</v>
      </c>
      <c r="F23" s="13">
        <v>36</v>
      </c>
      <c r="G23" s="3">
        <v>43836</v>
      </c>
      <c r="I23" s="7"/>
      <c r="J23" s="8"/>
    </row>
    <row r="24" spans="1:10" ht="15.75" customHeight="1">
      <c r="A24" s="14" t="s">
        <v>355</v>
      </c>
      <c r="B24" s="13" t="s">
        <v>100</v>
      </c>
      <c r="F24" s="13">
        <v>8</v>
      </c>
      <c r="G24" s="3">
        <v>43836</v>
      </c>
      <c r="I24" s="7"/>
      <c r="J24" s="8"/>
    </row>
    <row r="25" spans="1:10" ht="15.75" customHeight="1">
      <c r="E25" s="12" t="s">
        <v>32</v>
      </c>
      <c r="F25">
        <f>SUM(F3:F24)</f>
        <v>5844</v>
      </c>
      <c r="I25" s="12" t="s">
        <v>356</v>
      </c>
      <c r="J25" s="8">
        <f>SUM(J3,J4,J9,2,J6,J5)</f>
        <v>55.40206666666667</v>
      </c>
    </row>
    <row r="26" spans="1:10" ht="15.75" customHeight="1">
      <c r="I26" s="1" t="s">
        <v>281</v>
      </c>
      <c r="J26" s="8">
        <f>SUM(5,J11,J13,J15,J16,J18,J19)</f>
        <v>48.791393939393934</v>
      </c>
    </row>
    <row r="29" spans="1:10" ht="15.75" customHeight="1">
      <c r="A29" s="12" t="s">
        <v>104</v>
      </c>
      <c r="B29" s="12" t="s">
        <v>105</v>
      </c>
      <c r="C29" s="12" t="s">
        <v>282</v>
      </c>
    </row>
    <row r="30" spans="1:10" ht="15.75" customHeight="1">
      <c r="A30" s="13">
        <v>1</v>
      </c>
      <c r="B30" s="13" t="s">
        <v>357</v>
      </c>
      <c r="C30" s="13">
        <v>1</v>
      </c>
    </row>
    <row r="31" spans="1:10" ht="15.75" customHeight="1">
      <c r="A31" s="13">
        <v>2</v>
      </c>
      <c r="B31" s="13" t="s">
        <v>108</v>
      </c>
      <c r="C31" s="13">
        <v>1</v>
      </c>
    </row>
    <row r="32" spans="1:10" ht="15.75" customHeight="1">
      <c r="A32" s="13">
        <v>3</v>
      </c>
      <c r="B32" s="13" t="s">
        <v>358</v>
      </c>
      <c r="C32" s="13">
        <v>4</v>
      </c>
    </row>
    <row r="33" spans="1:4" ht="15.75" customHeight="1">
      <c r="A33" s="13">
        <v>4</v>
      </c>
      <c r="B33" s="13" t="s">
        <v>232</v>
      </c>
      <c r="C33" s="13">
        <v>1</v>
      </c>
    </row>
    <row r="34" spans="1:4" ht="15.75" customHeight="1">
      <c r="A34" s="13">
        <v>5</v>
      </c>
      <c r="B34" s="13" t="s">
        <v>109</v>
      </c>
      <c r="C34" s="13">
        <v>0.5</v>
      </c>
    </row>
    <row r="35" spans="1:4" ht="15.75" customHeight="1">
      <c r="A35" s="13">
        <v>6</v>
      </c>
      <c r="B35" s="13" t="s">
        <v>233</v>
      </c>
      <c r="C35" s="13">
        <v>1</v>
      </c>
      <c r="D35" s="13" t="s">
        <v>359</v>
      </c>
    </row>
    <row r="36" spans="1:4" ht="15.75" customHeight="1">
      <c r="A36" s="13">
        <v>7</v>
      </c>
      <c r="B36" s="13" t="s">
        <v>234</v>
      </c>
      <c r="C36" s="13">
        <v>1</v>
      </c>
    </row>
    <row r="37" spans="1:4" ht="15.75" customHeight="1">
      <c r="A37" s="13">
        <v>8</v>
      </c>
      <c r="B37" s="13" t="s">
        <v>109</v>
      </c>
      <c r="C37" s="13">
        <v>0.5</v>
      </c>
    </row>
    <row r="38" spans="1:4" ht="15.75" customHeight="1">
      <c r="A38" s="13">
        <v>9</v>
      </c>
      <c r="B38" s="13" t="s">
        <v>235</v>
      </c>
      <c r="C38" s="13">
        <v>1</v>
      </c>
    </row>
    <row r="39" spans="1:4" ht="15.75" customHeight="1">
      <c r="A39" s="13">
        <v>10</v>
      </c>
      <c r="B39" s="13" t="s">
        <v>110</v>
      </c>
      <c r="C39" s="13">
        <v>1</v>
      </c>
    </row>
    <row r="40" spans="1:4" ht="15.75" customHeight="1">
      <c r="A40" s="13">
        <v>11</v>
      </c>
      <c r="B40" s="13" t="s">
        <v>109</v>
      </c>
      <c r="C40" s="13">
        <v>0.5</v>
      </c>
    </row>
    <row r="41" spans="1:4" ht="15.75" customHeight="1">
      <c r="A41" s="13">
        <v>12</v>
      </c>
      <c r="B41" s="13" t="s">
        <v>288</v>
      </c>
      <c r="C41" s="13">
        <v>1</v>
      </c>
    </row>
    <row r="42" spans="1:4" ht="15.75" customHeight="1">
      <c r="B42" s="12" t="s">
        <v>113</v>
      </c>
      <c r="C42">
        <f>SUM(C30:C41)</f>
        <v>13.5</v>
      </c>
      <c r="D42" s="13" t="s">
        <v>359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Policastro, Robert Anthony</cp:lastModifiedBy>
  <cp:revision/>
  <dcterms:created xsi:type="dcterms:W3CDTF">2020-06-12T01:38:12Z</dcterms:created>
  <dcterms:modified xsi:type="dcterms:W3CDTF">2020-06-12T01:38:12Z</dcterms:modified>
  <cp:category/>
  <cp:contentStatus/>
</cp:coreProperties>
</file>