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10" windowWidth="27495" windowHeight="14505"/>
  </bookViews>
  <sheets>
    <sheet name="Overview" sheetId="7" r:id="rId1"/>
    <sheet name="cTEC" sheetId="1" r:id="rId2"/>
    <sheet name="immature_mTEC" sheetId="3" r:id="rId3"/>
    <sheet name="Aire_negative_mature_mTEC" sheetId="5" r:id="rId4"/>
  </sheets>
  <definedNames>
    <definedName name="_xlnm._FilterDatabase" localSheetId="3" hidden="1">Aire_negative_mature_mTEC!$A$1:$E$965</definedName>
    <definedName name="_xlnm._FilterDatabase" localSheetId="1" hidden="1">cTEC!$A$1:$E$723</definedName>
    <definedName name="_xlnm._FilterDatabase" localSheetId="2" hidden="1">immature_mTEC!$A$1:$E$384</definedName>
  </definedNames>
  <calcPr calcId="145621"/>
</workbook>
</file>

<file path=xl/calcChain.xml><?xml version="1.0" encoding="utf-8"?>
<calcChain xmlns="http://schemas.openxmlformats.org/spreadsheetml/2006/main">
  <c r="A6" i="7" l="1"/>
  <c r="A5" i="7" l="1"/>
  <c r="A4" i="7"/>
  <c r="B965" i="5" l="1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<sst xmlns="http://schemas.openxmlformats.org/spreadsheetml/2006/main" count="2090" uniqueCount="2080">
  <si>
    <t>ENSMUSG00000026535</t>
  </si>
  <si>
    <t>ENSMUSG00000046598</t>
  </si>
  <si>
    <t>ENSMUSG00000018378</t>
  </si>
  <si>
    <t>ENSMUSG00000004891</t>
  </si>
  <si>
    <t>ENSMUSG00000028434</t>
  </si>
  <si>
    <t>ENSMUSG00000038894</t>
  </si>
  <si>
    <t>ENSMUSG00000037405</t>
  </si>
  <si>
    <t>ENSMUSG00000052631</t>
  </si>
  <si>
    <t>ENSMUSG00000014852</t>
  </si>
  <si>
    <t>ENSMUSG00000018774</t>
  </si>
  <si>
    <t>ENSMUSG00000020190</t>
  </si>
  <si>
    <t>ENSMUSG00000050908</t>
  </si>
  <si>
    <t>ENSMUSG00000023885</t>
  </si>
  <si>
    <t>ENSMUSG00000023886</t>
  </si>
  <si>
    <t>ENSMUSG00000003500</t>
  </si>
  <si>
    <t>ENSMUSG00000058349</t>
  </si>
  <si>
    <t>ENSMUSG00000023150</t>
  </si>
  <si>
    <t>ENSMUSG00000024044</t>
  </si>
  <si>
    <t>ENSMUSG00000068011</t>
  </si>
  <si>
    <t>ENSMUSG00000035042</t>
  </si>
  <si>
    <t>ENSMUSG00000032028</t>
  </si>
  <si>
    <t>ENSMUSG00000044534</t>
  </si>
  <si>
    <t>ENSMUSG00000017734</t>
  </si>
  <si>
    <t>ENSMUSG00000045827</t>
  </si>
  <si>
    <t>ENSMUSG00000052981</t>
  </si>
  <si>
    <t>ENSMUSG00000036036</t>
  </si>
  <si>
    <t>ENSMUSG00000019917</t>
  </si>
  <si>
    <t>ENSMUSG00000028435</t>
  </si>
  <si>
    <t>ENSMUSG00000021760</t>
  </si>
  <si>
    <t>ENSMUSG00000004947</t>
  </si>
  <si>
    <t>ENSMUSG00000001473</t>
  </si>
  <si>
    <t>ENSMUSG00000042808</t>
  </si>
  <si>
    <t>ENSMUSG00000041012</t>
  </si>
  <si>
    <t>ENSMUSG00000024737</t>
  </si>
  <si>
    <t>ENSMUSG00000031391</t>
  </si>
  <si>
    <t>ENSMUSG00000004633</t>
  </si>
  <si>
    <t>ENSMUSG00000034116</t>
  </si>
  <si>
    <t>ENSMUSG00000024190</t>
  </si>
  <si>
    <t>ENSMUSG00000070285</t>
  </si>
  <si>
    <t>ENSMUSG00000038390</t>
  </si>
  <si>
    <t>ENSMUSG00000048285</t>
  </si>
  <si>
    <t>ENSMUSG00000030921</t>
  </si>
  <si>
    <t>ENSMUSG00000048281</t>
  </si>
  <si>
    <t>ENSMUSG00000030669</t>
  </si>
  <si>
    <t>ENSMUSG00000034522</t>
  </si>
  <si>
    <t>ENSMUSG00000044066</t>
  </si>
  <si>
    <t>ENSMUSG00000036769</t>
  </si>
  <si>
    <t>ENSMUSG00000030666</t>
  </si>
  <si>
    <t>ENSMUSG00000028932</t>
  </si>
  <si>
    <t>ENSMUSG00000001305</t>
  </si>
  <si>
    <t>ENSMUSG00000000253</t>
  </si>
  <si>
    <t>ENSMUSG00000022865</t>
  </si>
  <si>
    <t>ENSMUSG00000037140</t>
  </si>
  <si>
    <t>ENSMUSG00000027247</t>
  </si>
  <si>
    <t>ENSMUSG00000041120</t>
  </si>
  <si>
    <t>ENSMUSG00000027244</t>
  </si>
  <si>
    <t>ENSMUSG00000037148</t>
  </si>
  <si>
    <t>ENSMUSG00000030796</t>
  </si>
  <si>
    <t>ENSMUSG00000026594</t>
  </si>
  <si>
    <t>ENSMUSG00000033688</t>
  </si>
  <si>
    <t>ENSMUSG00000034959</t>
  </si>
  <si>
    <t>ENSMUSG00000037362</t>
  </si>
  <si>
    <t>ENSMUSG00000041729</t>
  </si>
  <si>
    <t>ENSMUSG00000079733</t>
  </si>
  <si>
    <t>ENSMUSG00000031095</t>
  </si>
  <si>
    <t>ENSMUSG00000040188</t>
  </si>
  <si>
    <t>ENSMUSG00000024538</t>
  </si>
  <si>
    <t>ENSMUSG00000027332</t>
  </si>
  <si>
    <t>ENSMUSG00000027339</t>
  </si>
  <si>
    <t>ENSMUSG00000027338</t>
  </si>
  <si>
    <t>ENSMUSG00000071715</t>
  </si>
  <si>
    <t>ENSMUSG00000047767</t>
  </si>
  <si>
    <t>ENSMUSG00000054920</t>
  </si>
  <si>
    <t>ENSMUSG00000030084</t>
  </si>
  <si>
    <t>ENSMUSG00000030087</t>
  </si>
  <si>
    <t>ENSMUSG00000055435</t>
  </si>
  <si>
    <t>ENSMUSG00000030088</t>
  </si>
  <si>
    <t>ENSMUSG00000037211</t>
  </si>
  <si>
    <t>ENSMUSG00000030530</t>
  </si>
  <si>
    <t>ENSMUSG00000030539</t>
  </si>
  <si>
    <t>ENSMUSG00000030538</t>
  </si>
  <si>
    <t>ENSMUSG00000059182</t>
  </si>
  <si>
    <t>ENSMUSG00000059187</t>
  </si>
  <si>
    <t>ENSMUSG00000031428</t>
  </si>
  <si>
    <t>ENSMUSG00000023439</t>
  </si>
  <si>
    <t>ENSMUSG00000073530</t>
  </si>
  <si>
    <t>ENSMUSG00000000325</t>
  </si>
  <si>
    <t>ENSMUSG00000062312</t>
  </si>
  <si>
    <t>ENSMUSG00000022120</t>
  </si>
  <si>
    <t>ENSMUSG00000022122</t>
  </si>
  <si>
    <t>ENSMUSG00000038658</t>
  </si>
  <si>
    <t>ENSMUSG00000030339</t>
  </si>
  <si>
    <t>ENSMUSG00000055725</t>
  </si>
  <si>
    <t>ENSMUSG00000067594</t>
  </si>
  <si>
    <t>ENSMUSG00000031207</t>
  </si>
  <si>
    <t>ENSMUSG00000026442</t>
  </si>
  <si>
    <t>ENSMUSG00000033863</t>
  </si>
  <si>
    <t>ENSMUSG00000026574</t>
  </si>
  <si>
    <t>ENSMUSG00000023055</t>
  </si>
  <si>
    <t>ENSMUSG00000022052</t>
  </si>
  <si>
    <t>ENSMUSG00000022054</t>
  </si>
  <si>
    <t>ENSMUSG00000063851</t>
  </si>
  <si>
    <t>ENSMUSG00000003228</t>
  </si>
  <si>
    <t>ENSMUSG00000035305</t>
  </si>
  <si>
    <t>ENSMUSG00000038264</t>
  </si>
  <si>
    <t>ENSMUSG00000036814</t>
  </si>
  <si>
    <t>ENSMUSG00000036815</t>
  </si>
  <si>
    <t>ENSMUSG00000031112</t>
  </si>
  <si>
    <t>ENSMUSG00000090206</t>
  </si>
  <si>
    <t>ENSMUSG00000005973</t>
  </si>
  <si>
    <t>ENSMUSG00000025586</t>
  </si>
  <si>
    <t>ENSMUSG00000057766</t>
  </si>
  <si>
    <t>ENSMUSG00000025473</t>
  </si>
  <si>
    <t>ENSMUSG00000025477</t>
  </si>
  <si>
    <t>ENSMUSG00000047501</t>
  </si>
  <si>
    <t>ENSMUSG00000025279</t>
  </si>
  <si>
    <t>ENSMUSG00000022587</t>
  </si>
  <si>
    <t>ENSMUSG00000022586</t>
  </si>
  <si>
    <t>ENSMUSG00000024885</t>
  </si>
  <si>
    <t>ENSMUSG00000025270</t>
  </si>
  <si>
    <t>ENSMUSG00000001021</t>
  </si>
  <si>
    <t>ENSMUSG00000042842</t>
  </si>
  <si>
    <t>ENSMUSG00000061517</t>
  </si>
  <si>
    <t>ENSMUSG00000032092</t>
  </si>
  <si>
    <t>ENSMUSG00000052062</t>
  </si>
  <si>
    <t>ENSMUSG00000041624</t>
  </si>
  <si>
    <t>ENSMUSG00000029598</t>
  </si>
  <si>
    <t>ENSMUSG00000020696</t>
  </si>
  <si>
    <t>ENSMUSG00000070520</t>
  </si>
  <si>
    <t>ENSMUSG00000043461</t>
  </si>
  <si>
    <t>ENSMUSG00000029596</t>
  </si>
  <si>
    <t>ENSMUSG00000022475</t>
  </si>
  <si>
    <t>ENSMUSG00000016256</t>
  </si>
  <si>
    <t>ENSMUSG00000025612</t>
  </si>
  <si>
    <t>ENSMUSG00000027605</t>
  </si>
  <si>
    <t>ENSMUSG00000022479</t>
  </si>
  <si>
    <t>ENSMUSG00000034320</t>
  </si>
  <si>
    <t>ENSMUSG00000027356</t>
  </si>
  <si>
    <t>ENSMUSG00000006777</t>
  </si>
  <si>
    <t>ENSMUSG00000034327</t>
  </si>
  <si>
    <t>ENSMUSG00000026778</t>
  </si>
  <si>
    <t>ENSMUSG00000027602</t>
  </si>
  <si>
    <t>ENSMUSG00000037960</t>
  </si>
  <si>
    <t>ENSMUSG00000032491</t>
  </si>
  <si>
    <t>ENSMUSG00000032496</t>
  </si>
  <si>
    <t>ENSMUSG00000038884</t>
  </si>
  <si>
    <t>ENSMUSG00000025129</t>
  </si>
  <si>
    <t>ENSMUSG00000068245</t>
  </si>
  <si>
    <t>ENSMUSG00000089661</t>
  </si>
  <si>
    <t>ENSMUSG00000028532</t>
  </si>
  <si>
    <t>ENSMUSG00000068335</t>
  </si>
  <si>
    <t>ENSMUSG00000040613</t>
  </si>
  <si>
    <t>ENSMUSG00000034438</t>
  </si>
  <si>
    <t>ENSMUSG00000042115</t>
  </si>
  <si>
    <t>ENSMUSG00000061288</t>
  </si>
  <si>
    <t>ENSMUSG00000020740</t>
  </si>
  <si>
    <t>ENSMUSG00000042428</t>
  </si>
  <si>
    <t>ENSMUSG00000032306</t>
  </si>
  <si>
    <t>ENSMUSG00000020744</t>
  </si>
  <si>
    <t>ENSMUSG00000024059</t>
  </si>
  <si>
    <t>ENSMUSG00000028245</t>
  </si>
  <si>
    <t>ENSMUSG00000047661</t>
  </si>
  <si>
    <t>ENSMUSG00000032024</t>
  </si>
  <si>
    <t>ENSMUSG00000075590</t>
  </si>
  <si>
    <t>ENSMUSG00000076931</t>
  </si>
  <si>
    <t>ENSMUSG00000020792</t>
  </si>
  <si>
    <t>ENSMUSG00000032018</t>
  </si>
  <si>
    <t>ENSMUSG00000020100</t>
  </si>
  <si>
    <t>ENSMUSG00000032015</t>
  </si>
  <si>
    <t>ENSMUSG00000017723</t>
  </si>
  <si>
    <t>ENSMUSG00000036027</t>
  </si>
  <si>
    <t>ENSMUSG00000028789</t>
  </si>
  <si>
    <t>ENSMUSG00000078670</t>
  </si>
  <si>
    <t>ENSMUSG00000036022</t>
  </si>
  <si>
    <t>ENSMUSG00000021807</t>
  </si>
  <si>
    <t>ENSMUSG00000004933</t>
  </si>
  <si>
    <t>ENSMUSG00000027439</t>
  </si>
  <si>
    <t>ENSMUSG00000022905</t>
  </si>
  <si>
    <t>ENSMUSG00000022901</t>
  </si>
  <si>
    <t>ENSMUSG00000075151</t>
  </si>
  <si>
    <t>ENSMUSG00000068663</t>
  </si>
  <si>
    <t>ENSMUSG00000039910</t>
  </si>
  <si>
    <t>ENSMUSG00000044674</t>
  </si>
  <si>
    <t>ENSMUSG00000032470</t>
  </si>
  <si>
    <t>ENSMUSG00000061024</t>
  </si>
  <si>
    <t>ENSMUSG00000024187</t>
  </si>
  <si>
    <t>ENSMUSG00000019832</t>
  </si>
  <si>
    <t>ENSMUSG00000028710</t>
  </si>
  <si>
    <t>ENSMUSG00000079659</t>
  </si>
  <si>
    <t>ENSMUSG00000002308</t>
  </si>
  <si>
    <t>ENSMUSG00000044279</t>
  </si>
  <si>
    <t>ENSMUSG00000032872</t>
  </si>
  <si>
    <t>ENSMUSG00000078922</t>
  </si>
  <si>
    <t>ENSMUSG00000019122</t>
  </si>
  <si>
    <t>ENSMUSG00000027401</t>
  </si>
  <si>
    <t>ENSMUSG00000030653</t>
  </si>
  <si>
    <t>ENSMUSG00000044186</t>
  </si>
  <si>
    <t>ENSMUSG00000021596</t>
  </si>
  <si>
    <t>ENSMUSG00000036377</t>
  </si>
  <si>
    <t>ENSMUSG00000053719</t>
  </si>
  <si>
    <t>ENSMUSG00000079037</t>
  </si>
  <si>
    <t>ENSMUSG00000024235</t>
  </si>
  <si>
    <t>ENSMUSG00000079033</t>
  </si>
  <si>
    <t>ENSMUSG00000039316</t>
  </si>
  <si>
    <t>ENSMUSG00000020227</t>
  </si>
  <si>
    <t>ENSMUSG00000022876</t>
  </si>
  <si>
    <t>ENSMUSG00000050108</t>
  </si>
  <si>
    <t>ENSMUSG00000053395</t>
  </si>
  <si>
    <t>ENSMUSG00000033450</t>
  </si>
  <si>
    <t>ENSMUSG00000021025</t>
  </si>
  <si>
    <t>ENSMUSG00000027293</t>
  </si>
  <si>
    <t>ENSMUSG00000024529</t>
  </si>
  <si>
    <t>ENSMUSG00000066885</t>
  </si>
  <si>
    <t>ENSMUSG00000037341</t>
  </si>
  <si>
    <t>ENSMUSG00000000682</t>
  </si>
  <si>
    <t>ENSMUSG00000027188</t>
  </si>
  <si>
    <t>ENSMUSG00000079722</t>
  </si>
  <si>
    <t>ENSMUSG00000033059</t>
  </si>
  <si>
    <t>ENSMUSG00000026748</t>
  </si>
  <si>
    <t>ENSMUSG00000041731</t>
  </si>
  <si>
    <t>ENSMUSG00000041737</t>
  </si>
  <si>
    <t>ENSMUSG00000027340</t>
  </si>
  <si>
    <t>ENSMUSG00000027514</t>
  </si>
  <si>
    <t>ENSMUSG00000038080</t>
  </si>
  <si>
    <t>ENSMUSG00000038085</t>
  </si>
  <si>
    <t>ENSMUSG00000027776</t>
  </si>
  <si>
    <t>ENSMUSG00000030505</t>
  </si>
  <si>
    <t>ENSMUSG00000040998</t>
  </si>
  <si>
    <t>ENSMUSG00000037348</t>
  </si>
  <si>
    <t>ENSMUSG00000039844</t>
  </si>
  <si>
    <t>ENSMUSG00000041351</t>
  </si>
  <si>
    <t>ENSMUSG00000050965</t>
  </si>
  <si>
    <t>ENSMUSG00000027071</t>
  </si>
  <si>
    <t>ENSMUSG00000027984</t>
  </si>
  <si>
    <t>ENSMUSG00000031432</t>
  </si>
  <si>
    <t>ENSMUSG00000056999</t>
  </si>
  <si>
    <t>ENSMUSG00000026102</t>
  </si>
  <si>
    <t>ENSMUSG00000038648</t>
  </si>
  <si>
    <t>ENSMUSG00000026107</t>
  </si>
  <si>
    <t>ENSMUSG00000003814</t>
  </si>
  <si>
    <t>ENSMUSG00000038642</t>
  </si>
  <si>
    <t>ENSMUSG00000048756</t>
  </si>
  <si>
    <t>ENSMUSG00000025867</t>
  </si>
  <si>
    <t>ENSMUSG00000030340</t>
  </si>
  <si>
    <t>ENSMUSG00000021375</t>
  </si>
  <si>
    <t>ENSMUSG00000031740</t>
  </si>
  <si>
    <t>ENSMUSG00000021371</t>
  </si>
  <si>
    <t>ENSMUSG00000006782</t>
  </si>
  <si>
    <t>ENSMUSG00000023045</t>
  </si>
  <si>
    <t>ENSMUSG00000022066</t>
  </si>
  <si>
    <t>ENSMUSG00000040770</t>
  </si>
  <si>
    <t>ENSMUSG00000026360</t>
  </si>
  <si>
    <t>ENSMUSG00000042851</t>
  </si>
  <si>
    <t>ENSMUSG00000056174</t>
  </si>
  <si>
    <t>ENSMUSG00000062901</t>
  </si>
  <si>
    <t>ENSMUSG00000046352</t>
  </si>
  <si>
    <t>ENSMUSG00000029103</t>
  </si>
  <si>
    <t>ENSMUSG00000057375</t>
  </si>
  <si>
    <t>ENSMUSG00000029108</t>
  </si>
  <si>
    <t>ENSMUSG00000012126</t>
  </si>
  <si>
    <t>ENSMUSG00000022241</t>
  </si>
  <si>
    <t>ENSMUSG00000025269</t>
  </si>
  <si>
    <t>ENSMUSG00000025268</t>
  </si>
  <si>
    <t>ENSMUSG00000025915</t>
  </si>
  <si>
    <t>ENSMUSG00000025917</t>
  </si>
  <si>
    <t>ENSMUSG00000025260</t>
  </si>
  <si>
    <t>ENSMUSG00000039234</t>
  </si>
  <si>
    <t>ENSMUSG00000039236</t>
  </si>
  <si>
    <t>ENSMUSG00000039230</t>
  </si>
  <si>
    <t>ENSMUSG00000039232</t>
  </si>
  <si>
    <t>ENSMUSG00000020424</t>
  </si>
  <si>
    <t>ENSMUSG00000025283</t>
  </si>
  <si>
    <t>ENSMUSG00000011837</t>
  </si>
  <si>
    <t>ENSMUSG00000060131</t>
  </si>
  <si>
    <t>ENSMUSG00000032333</t>
  </si>
  <si>
    <t>ENSMUSG00000037860</t>
  </si>
  <si>
    <t>ENSMUSG00000028743</t>
  </si>
  <si>
    <t>ENSMUSG00000022489</t>
  </si>
  <si>
    <t>ENSMUSG00000067541</t>
  </si>
  <si>
    <t>ENSMUSG00000026090</t>
  </si>
  <si>
    <t>ENSMUSG00000025607</t>
  </si>
  <si>
    <t>ENSMUSG00000048572</t>
  </si>
  <si>
    <t>ENSMUSG00000035208</t>
  </si>
  <si>
    <t>ENSMUSG00000021118</t>
  </si>
  <si>
    <t>ENSMUSG00000034330</t>
  </si>
  <si>
    <t>ENSMUSG00000052504</t>
  </si>
  <si>
    <t>ENSMUSG00000034278</t>
  </si>
  <si>
    <t>ENSMUSG00000050926</t>
  </si>
  <si>
    <t>ENSMUSG00000032487</t>
  </si>
  <si>
    <t>ENSMUSG00000009292</t>
  </si>
  <si>
    <t>ENSMUSG00000068259</t>
  </si>
  <si>
    <t>ENSMUSG00000025139</t>
  </si>
  <si>
    <t>ENSMUSG00000000869</t>
  </si>
  <si>
    <t>ENSMUSG00000035840</t>
  </si>
  <si>
    <t>ENSMUSG00000035686</t>
  </si>
  <si>
    <t>ENSMUSG00000025739</t>
  </si>
  <si>
    <t>ENSMUSG00000028528</t>
  </si>
  <si>
    <t>ENSMUSG00000016024</t>
  </si>
  <si>
    <t>ENSMUSG00000035443</t>
  </si>
  <si>
    <t>ENSMUSG00000035441</t>
  </si>
  <si>
    <t>ENSMUSG00000020734</t>
  </si>
  <si>
    <t>ENSMUSG00000032314</t>
  </si>
  <si>
    <t>ENSMUSG00000016028</t>
  </si>
  <si>
    <t>ENSMUSG00000091337</t>
  </si>
  <si>
    <t>ENSMUSG00000028255</t>
  </si>
  <si>
    <t>ENSMUSG00000064326</t>
  </si>
  <si>
    <t>ENSMUSG00000044468</t>
  </si>
  <si>
    <t>ENSMUSG00000042328</t>
  </si>
  <si>
    <t>ENSMUSG00000044060</t>
  </si>
  <si>
    <t>ENSMUSG00000035069</t>
  </si>
  <si>
    <t>ENSMUSG00000017756</t>
  </si>
  <si>
    <t>ENSMUSG00000032002</t>
  </si>
  <si>
    <t>ENSMUSG00000017754</t>
  </si>
  <si>
    <t>ENSMUSG00000032000</t>
  </si>
  <si>
    <t>ENSMUSG00000020644</t>
  </si>
  <si>
    <t>ENSMUSG00000026414</t>
  </si>
  <si>
    <t>ENSMUSG00000053477</t>
  </si>
  <si>
    <t>ENSMUSG00000023992</t>
  </si>
  <si>
    <t>ENSMUSG00000023991</t>
  </si>
  <si>
    <t>ENSMUSG00000074140</t>
  </si>
  <si>
    <t>ENSMUSG00000074141</t>
  </si>
  <si>
    <t>ENSMUSG00000019936</t>
  </si>
  <si>
    <t>ENSMUSG00000021743</t>
  </si>
  <si>
    <t>ENSMUSG00000036764</t>
  </si>
  <si>
    <t>ENSMUSG00000020340</t>
  </si>
  <si>
    <t>ENSMUSG00000062646</t>
  </si>
  <si>
    <t>ENSMUSG00000018537</t>
  </si>
  <si>
    <t>ENSMUSG00000032462</t>
  </si>
  <si>
    <t>ENSMUSG00000019804</t>
  </si>
  <si>
    <t>ENSMUSG00000024424</t>
  </si>
  <si>
    <t>ENSMUSG00000032263</t>
  </si>
  <si>
    <t>ENSMUSG00000024423</t>
  </si>
  <si>
    <t>ENSMUSG00000054723</t>
  </si>
  <si>
    <t>ENSMUSG00000054720</t>
  </si>
  <si>
    <t>ENSMUSG00000001521</t>
  </si>
  <si>
    <t>ENSMUSG00000006205</t>
  </si>
  <si>
    <t>ENSMUSG00000075033</t>
  </si>
  <si>
    <t>ENSMUSG00000020232</t>
  </si>
  <si>
    <t>ENSMUSG00000027510</t>
  </si>
  <si>
    <t>ENSMUSG00000020234</t>
  </si>
  <si>
    <t>ENSMUSG00000058297</t>
  </si>
  <si>
    <t>ENSMUSG00000009394</t>
  </si>
  <si>
    <t>ENSMUSG00000038417</t>
  </si>
  <si>
    <t>ENSMUSG00000017405</t>
  </si>
  <si>
    <t>ENSMUSG00000079013</t>
  </si>
  <si>
    <t>ENSMUSG00000024085</t>
  </si>
  <si>
    <t>ENSMUSG00000037761</t>
  </si>
  <si>
    <t>ENSMUSG00000070390</t>
  </si>
  <si>
    <t>ENSMUSG00000058346</t>
  </si>
  <si>
    <t>ENSMUSG00000022808</t>
  </si>
  <si>
    <t>ENSMUSG00000054517</t>
  </si>
  <si>
    <t>ENSMUSG00000062421</t>
  </si>
  <si>
    <t>ENSMUSG00000071633</t>
  </si>
  <si>
    <t>ENSMUSG00000038521</t>
  </si>
  <si>
    <t>ENSMUSG00000040181</t>
  </si>
  <si>
    <t>ENSMUSG00000005534</t>
  </si>
  <si>
    <t>ENSMUSG00000050737</t>
  </si>
  <si>
    <t>ENSMUSG00000037145</t>
  </si>
  <si>
    <t>ENSMUSG00000030647</t>
  </si>
  <si>
    <t>ENSMUSG00000024997</t>
  </si>
  <si>
    <t>ENSMUSG00000024556</t>
  </si>
  <si>
    <t>ENSMUSG00000000120</t>
  </si>
  <si>
    <t>ENSMUSG00000036580</t>
  </si>
  <si>
    <t>ENSMUSG00000001098</t>
  </si>
  <si>
    <t>ENSMUSG00000048376</t>
  </si>
  <si>
    <t>ENSMUSG00000043857</t>
  </si>
  <si>
    <t>ENSMUSG00000027351</t>
  </si>
  <si>
    <t>ENSMUSG00000027350</t>
  </si>
  <si>
    <t>ENSMUSG00000033730</t>
  </si>
  <si>
    <t>ENSMUSG00000063273</t>
  </si>
  <si>
    <t>ENSMUSG00000072423</t>
  </si>
  <si>
    <t>ENSMUSG00000047747</t>
  </si>
  <si>
    <t>ENSMUSG00000031591</t>
  </si>
  <si>
    <t>ENSMUSG00000030519</t>
  </si>
  <si>
    <t>ENSMUSG00000005625</t>
  </si>
  <si>
    <t>ENSMUSG00000027530</t>
  </si>
  <si>
    <t>ENSMUSG00000030513</t>
  </si>
  <si>
    <t>ENSMUSG00000055148</t>
  </si>
  <si>
    <t>ENSMUSG00000030510</t>
  </si>
  <si>
    <t>ENSMUSG00000012017</t>
  </si>
  <si>
    <t>ENSMUSG00000020964</t>
  </si>
  <si>
    <t>ENSMUSG00000027999</t>
  </si>
  <si>
    <t>ENSMUSG00000004043</t>
  </si>
  <si>
    <t>ENSMUSG00000004040</t>
  </si>
  <si>
    <t>ENSMUSG00000031910</t>
  </si>
  <si>
    <t>ENSMUSG00000000340</t>
  </si>
  <si>
    <t>ENSMUSG00000023456</t>
  </si>
  <si>
    <t>ENSMUSG00000026170</t>
  </si>
  <si>
    <t>ENSMUSG00000015133</t>
  </si>
  <si>
    <t>ENSMUSG00000022106</t>
  </si>
  <si>
    <t>ENSMUSG00000022103</t>
  </si>
  <si>
    <t>ENSMUSG00000038633</t>
  </si>
  <si>
    <t>ENSMUSG00000067377</t>
  </si>
  <si>
    <t>ENSMUSG00000030352</t>
  </si>
  <si>
    <t>ENSMUSG00000031770</t>
  </si>
  <si>
    <t>ENSMUSG00000018654</t>
  </si>
  <si>
    <t>ENSMUSG00000057561</t>
  </si>
  <si>
    <t>ENSMUSG00000031779</t>
  </si>
  <si>
    <t>ENSMUSG00000014980</t>
  </si>
  <si>
    <t>ENSMUSG00000020773</t>
  </si>
  <si>
    <t>ENSMUSG00000047696</t>
  </si>
  <si>
    <t>ENSMUSG00000004267</t>
  </si>
  <si>
    <t>ENSMUSG00000026000</t>
  </si>
  <si>
    <t>ENSMUSG00000051397</t>
  </si>
  <si>
    <t>ENSMUSG00000026004</t>
  </si>
  <si>
    <t>ENSMUSG00000040767</t>
  </si>
  <si>
    <t>ENSMUSG00000022074</t>
  </si>
  <si>
    <t>ENSMUSG00000057969</t>
  </si>
  <si>
    <t>ENSMUSG00000026395</t>
  </si>
  <si>
    <t>ENSMUSG00000042826</t>
  </si>
  <si>
    <t>ENSMUSG00000031176</t>
  </si>
  <si>
    <t>ENSMUSG00000057497</t>
  </si>
  <si>
    <t>ENSMUSG00000038242</t>
  </si>
  <si>
    <t>ENSMUSG00000009621</t>
  </si>
  <si>
    <t>ENSMUSG00000075702</t>
  </si>
  <si>
    <t>ENSMUSG00000056383</t>
  </si>
  <si>
    <t>ENSMUSG00000029605</t>
  </si>
  <si>
    <t>ENSMUSG00000002033</t>
  </si>
  <si>
    <t>ENSMUSG00000049562</t>
  </si>
  <si>
    <t>ENSMUSG00000043068</t>
  </si>
  <si>
    <t>ENSMUSG00000032053</t>
  </si>
  <si>
    <t>ENSMUSG00000045594</t>
  </si>
  <si>
    <t>ENSMUSG00000043061</t>
  </si>
  <si>
    <t>ENSMUSG00000057363</t>
  </si>
  <si>
    <t>ENSMUSG00000039007</t>
  </si>
  <si>
    <t>ENSMUSG00000029287</t>
  </si>
  <si>
    <t>ENSMUSG00000022253</t>
  </si>
  <si>
    <t>ENSMUSG00000021298</t>
  </si>
  <si>
    <t>ENSMUSG00000037369</t>
  </si>
  <si>
    <t>ENSMUSG00000017978</t>
  </si>
  <si>
    <t>ENSMUSG00000025927</t>
  </si>
  <si>
    <t>ENSMUSG00000046834</t>
  </si>
  <si>
    <t>ENSMUSG00000066152</t>
  </si>
  <si>
    <t>ENSMUSG00000026824</t>
  </si>
  <si>
    <t>ENSMUSG00000038332</t>
  </si>
  <si>
    <t>ENSMUSG00000026827</t>
  </si>
  <si>
    <t>ENSMUSG00000021125</t>
  </si>
  <si>
    <t>ENSMUSG00000020431</t>
  </si>
  <si>
    <t>ENSMUSG00000039202</t>
  </si>
  <si>
    <t>ENSMUSG00000020986</t>
  </si>
  <si>
    <t>ENSMUSG00000043681</t>
  </si>
  <si>
    <t>ENSMUSG00000067889</t>
  </si>
  <si>
    <t>ENSMUSG00000024063</t>
  </si>
  <si>
    <t>ENSMUSG00000028883</t>
  </si>
  <si>
    <t>ENSMUSG00000028885</t>
  </si>
  <si>
    <t>ENSMUSG00000043207</t>
  </si>
  <si>
    <t>ENSMUSG00000022494</t>
  </si>
  <si>
    <t>ENSMUSG00000034634</t>
  </si>
  <si>
    <t>ENSMUSG00000022496</t>
  </si>
  <si>
    <t>ENSMUSG00000020017</t>
  </si>
  <si>
    <t>ENSMUSG00000047878</t>
  </si>
  <si>
    <t>ENSMUSG00000052516</t>
  </si>
  <si>
    <t>ENSMUSG00000052512</t>
  </si>
  <si>
    <t>ENSMUSG00000037989</t>
  </si>
  <si>
    <t>ENSMUSG00000002043</t>
  </si>
  <si>
    <t>ENSMUSG00000008575</t>
  </si>
  <si>
    <t>ENSMUSG00000027221</t>
  </si>
  <si>
    <t>ENSMUSG00000034854</t>
  </si>
  <si>
    <t>ENSMUSG00000062929</t>
  </si>
  <si>
    <t>ENSMUSG00000028464</t>
  </si>
  <si>
    <t>ENSMUSG00000028392</t>
  </si>
  <si>
    <t>ENSMUSG00000035697</t>
  </si>
  <si>
    <t>ENSMUSG00000025701</t>
  </si>
  <si>
    <t>ENSMUSG00000027583</t>
  </si>
  <si>
    <t>ENSMUSG00000034981</t>
  </si>
  <si>
    <t>ENSMUSG00000028086</t>
  </si>
  <si>
    <t>ENSMUSG00000035107</t>
  </si>
  <si>
    <t>ENSMUSG00000021636</t>
  </si>
  <si>
    <t>ENSMUSG00000021638</t>
  </si>
  <si>
    <t>ENSMUSG00000020720</t>
  </si>
  <si>
    <t>ENSMUSG00000039208</t>
  </si>
  <si>
    <t>ENSMUSG00000069808</t>
  </si>
  <si>
    <t>ENSMUSG00000028064</t>
  </si>
  <si>
    <t>ENSMUSG00000006362</t>
  </si>
  <si>
    <t>ENSMUSG00000033857</t>
  </si>
  <si>
    <t>ENSMUSG00000079738</t>
  </si>
  <si>
    <t>ENSMUSG00000028262</t>
  </si>
  <si>
    <t>ENSMUSG00000021123</t>
  </si>
  <si>
    <t>ENSMUSG00000042312</t>
  </si>
  <si>
    <t>ENSMUSG00000013089</t>
  </si>
  <si>
    <t>ENSMUSG00000043252</t>
  </si>
  <si>
    <t>ENSMUSG00000053398</t>
  </si>
  <si>
    <t>ENSMUSG00000053644</t>
  </si>
  <si>
    <t>ENSMUSG00000042558</t>
  </si>
  <si>
    <t>ENSMUSG00000053647</t>
  </si>
  <si>
    <t>ENSMUSG00000053641</t>
  </si>
  <si>
    <t>ENSMUSG00000045871</t>
  </si>
  <si>
    <t>ENSMUSG00000037443</t>
  </si>
  <si>
    <t>ENSMUSG00000061311</t>
  </si>
  <si>
    <t>ENSMUSG00000075334</t>
  </si>
  <si>
    <t>ENSMUSG00000020718</t>
  </si>
  <si>
    <t>ENSMUSG00000078657</t>
  </si>
  <si>
    <t>ENSMUSG00000020432</t>
  </si>
  <si>
    <t>ENSMUSG00000018923</t>
  </si>
  <si>
    <t>ENSMUSG00000036639</t>
  </si>
  <si>
    <t>ENSMUSG00000064177</t>
  </si>
  <si>
    <t>ENSMUSG00000017561</t>
  </si>
  <si>
    <t>ENSMUSG00000032456</t>
  </si>
  <si>
    <t>ENSMUSG00000059866</t>
  </si>
  <si>
    <t>ENSMUSG00000004864</t>
  </si>
  <si>
    <t>ENSMUSG00000019817</t>
  </si>
  <si>
    <t>ENSMUSG00000049252</t>
  </si>
  <si>
    <t>ENSMUSG00000013275</t>
  </si>
  <si>
    <t>ENSMUSG00000027566</t>
  </si>
  <si>
    <t>ENSMUSG00000041117</t>
  </si>
  <si>
    <t>ENSMUSG00000020241</t>
  </si>
  <si>
    <t>ENSMUSG00000033508</t>
  </si>
  <si>
    <t>ENSMUSG00000058756</t>
  </si>
  <si>
    <t>ENSMUSG00000074934</t>
  </si>
  <si>
    <t>ENSMUSG00000074006</t>
  </si>
  <si>
    <t>ENSMUSG00000073859</t>
  </si>
  <si>
    <t>ENSMUSG00000073858</t>
  </si>
  <si>
    <t>ENSMUSG00000037754</t>
  </si>
  <si>
    <t>ENSMUSG00000054423</t>
  </si>
  <si>
    <t>ENSMUSG00000063651</t>
  </si>
  <si>
    <t>ENSMUSG00000000753</t>
  </si>
  <si>
    <t>ENSMUSG00000063659</t>
  </si>
  <si>
    <t>ENSMUSG00000038539</t>
  </si>
  <si>
    <t>ENSMUSG00000039621</t>
  </si>
  <si>
    <t>ENSMUSG00000021830</t>
  </si>
  <si>
    <t>ENSMUSG00000038530</t>
  </si>
  <si>
    <t>ENSMUSG00000030137</t>
  </si>
  <si>
    <t>ENSMUSG00000024940</t>
  </si>
  <si>
    <t>ENSMUSG00000030748</t>
  </si>
  <si>
    <t>ENSMUSG00000024944</t>
  </si>
  <si>
    <t>ENSMUSG00000033420</t>
  </si>
  <si>
    <t>ENSMUSG00000030742</t>
  </si>
  <si>
    <t>ENSMUSG00000041681</t>
  </si>
  <si>
    <t>ENSMUSG00000030747</t>
  </si>
  <si>
    <t>ENSMUSG00000030745</t>
  </si>
  <si>
    <t>ENSMUSG00000054555</t>
  </si>
  <si>
    <t>ENSMUSG00000027163</t>
  </si>
  <si>
    <t>ENSMUSG00000027160</t>
  </si>
  <si>
    <t>ENSMUSG00000027164</t>
  </si>
  <si>
    <t>ENSMUSG00000041598</t>
  </si>
  <si>
    <t>ENSMUSG00000020889</t>
  </si>
  <si>
    <t>ENSMUSG00000041757</t>
  </si>
  <si>
    <t>ENSMUSG00000024897</t>
  </si>
  <si>
    <t>ENSMUSG00000027360</t>
  </si>
  <si>
    <t>ENSMUSG00000027361</t>
  </si>
  <si>
    <t>ENSMUSG00000024899</t>
  </si>
  <si>
    <t>ENSMUSG00000018819</t>
  </si>
  <si>
    <t>ENSMUSG00000033720</t>
  </si>
  <si>
    <t>ENSMUSG00000033722</t>
  </si>
  <si>
    <t>ENSMUSG00000003873</t>
  </si>
  <si>
    <t>ENSMUSG00000061825</t>
  </si>
  <si>
    <t>ENSMUSG00000047751</t>
  </si>
  <si>
    <t>ENSMUSG00000058624</t>
  </si>
  <si>
    <t>ENSMUSG00000031585</t>
  </si>
  <si>
    <t>ENSMUSG00000055172</t>
  </si>
  <si>
    <t>ENSMUSG00000041974</t>
  </si>
  <si>
    <t>ENSMUSG00000037242</t>
  </si>
  <si>
    <t>ENSMUSG00000056978</t>
  </si>
  <si>
    <t>ENSMUSG00000037406</t>
  </si>
  <si>
    <t>ENSMUSG00000005054</t>
  </si>
  <si>
    <t>ENSMUSG00000027709</t>
  </si>
  <si>
    <t>ENSMUSG00000050708</t>
  </si>
  <si>
    <t>ENSMUSG00000031901</t>
  </si>
  <si>
    <t>ENSMUSG00000026166</t>
  </si>
  <si>
    <t>ENSMUSG00000000374</t>
  </si>
  <si>
    <t>ENSMUSG00000004698</t>
  </si>
  <si>
    <t>ENSMUSG00000015127</t>
  </si>
  <si>
    <t>ENSMUSG00000049685</t>
  </si>
  <si>
    <t>ENSMUSG00000048772</t>
  </si>
  <si>
    <t>ENSMUSG00000048776</t>
  </si>
  <si>
    <t>ENSMUSG00000090035</t>
  </si>
  <si>
    <t>ENSMUSG00000006567</t>
  </si>
  <si>
    <t>ENSMUSG00000030365</t>
  </si>
  <si>
    <t>ENSMUSG00000051079</t>
  </si>
  <si>
    <t>ENSMUSG00000031762</t>
  </si>
  <si>
    <t>ENSMUSG00000022838</t>
  </si>
  <si>
    <t>ENSMUSG00000031765</t>
  </si>
  <si>
    <t>ENSMUSG00000041347</t>
  </si>
  <si>
    <t>ENSMUSG00000040151</t>
  </si>
  <si>
    <t>ENSMUSG00000031342</t>
  </si>
  <si>
    <t>ENSMUSG00000026011</t>
  </si>
  <si>
    <t>ENSMUSG00000026014</t>
  </si>
  <si>
    <t>ENSMUSG00000014867</t>
  </si>
  <si>
    <t>ENSMUSG00000023064</t>
  </si>
  <si>
    <t>ENSMUSG00000026380</t>
  </si>
  <si>
    <t>ENSMUSG00000026383</t>
  </si>
  <si>
    <t>ENSMUSG00000021044</t>
  </si>
  <si>
    <t>ENSMUSG00000025938</t>
  </si>
  <si>
    <t>ENSMUSG00000020538</t>
  </si>
  <si>
    <t>ENSMUSG00000026942</t>
  </si>
  <si>
    <t>ENSMUSG00000063887</t>
  </si>
  <si>
    <t>ENSMUSG00000022629</t>
  </si>
  <si>
    <t>ENSMUSG00000063889</t>
  </si>
  <si>
    <t>ENSMUSG00000004473</t>
  </si>
  <si>
    <t>ENSMUSG00000011632</t>
  </si>
  <si>
    <t>ENSMUSG00000081769</t>
  </si>
  <si>
    <t>ENSMUSG00000039578</t>
  </si>
  <si>
    <t>ENSMUSG00000021286</t>
  </si>
  <si>
    <t>ENSMUSG00000020407</t>
  </si>
  <si>
    <t>ENSMUSG00000020400</t>
  </si>
  <si>
    <t>ENSMUSG00000075602</t>
  </si>
  <si>
    <t>ENSMUSG00000089773</t>
  </si>
  <si>
    <t>ENSMUSG00000028893</t>
  </si>
  <si>
    <t>ENSMUSG00000011256</t>
  </si>
  <si>
    <t>ENSMUSG00000052075</t>
  </si>
  <si>
    <t>ENSMUSG00000036912</t>
  </si>
  <si>
    <t>ENSMUSG00000032661</t>
  </si>
  <si>
    <t>ENSMUSG00000039105</t>
  </si>
  <si>
    <t>ENSMUSG00000059898</t>
  </si>
  <si>
    <t>ENSMUSG00000009545</t>
  </si>
  <si>
    <t>ENSMUSG00000035864</t>
  </si>
  <si>
    <t>ENSMUSG00000025153</t>
  </si>
  <si>
    <t>ENSMUSG00000025145</t>
  </si>
  <si>
    <t>ENSMUSG00000034449</t>
  </si>
  <si>
    <t>ENSMUSG00000046480</t>
  </si>
  <si>
    <t>ENSMUSG00000049823</t>
  </si>
  <si>
    <t>ENSMUSG00000035916</t>
  </si>
  <si>
    <t>ENSMUSG00000028391</t>
  </si>
  <si>
    <t>ENSMUSG00000034993</t>
  </si>
  <si>
    <t>ENSMUSG00000013076</t>
  </si>
  <si>
    <t>ENSMUSG00000042129</t>
  </si>
  <si>
    <t>ENSMUSG00000008976</t>
  </si>
  <si>
    <t>ENSMUSG00000046460</t>
  </si>
  <si>
    <t>ENSMUSG00000072620</t>
  </si>
  <si>
    <t>ENSMUSG00000021720</t>
  </si>
  <si>
    <t>ENSMUSG00000001435</t>
  </si>
  <si>
    <t>ENSMUSG00000020310</t>
  </si>
  <si>
    <t>ENSMUSG00000028383</t>
  </si>
  <si>
    <t>ENSMUSG00000018334</t>
  </si>
  <si>
    <t>ENSMUSG00000028386</t>
  </si>
  <si>
    <t>ENSMUSG00000028385</t>
  </si>
  <si>
    <t>ENSMUSG00000042010</t>
  </si>
  <si>
    <t>ENSMUSG00000018339</t>
  </si>
  <si>
    <t>ENSMUSG00000002459</t>
  </si>
  <si>
    <t>ENSMUSG00000017774</t>
  </si>
  <si>
    <t>ENSMUSG00000032068</t>
  </si>
  <si>
    <t>ENSMUSG00000000486</t>
  </si>
  <si>
    <t>ENSMUSG00000036298</t>
  </si>
  <si>
    <t>ENSMUSG00000079197</t>
  </si>
  <si>
    <t>ENSMUSG00000020485</t>
  </si>
  <si>
    <t>ENSMUSG00000032440</t>
  </si>
  <si>
    <t>ENSMUSG00000053819</t>
  </si>
  <si>
    <t>ENSMUSG00000019866</t>
  </si>
  <si>
    <t>ENSMUSG00000024409</t>
  </si>
  <si>
    <t>ENSMUSG00000024158</t>
  </si>
  <si>
    <t>ENSMUSG00000054708</t>
  </si>
  <si>
    <t>ENSMUSG00000036103</t>
  </si>
  <si>
    <t>ENSMUSG00000002983</t>
  </si>
  <si>
    <t>ENSMUSG00000024401</t>
  </si>
  <si>
    <t>ENSMUSG00000036109</t>
  </si>
  <si>
    <t>ENSMUSG00000027574</t>
  </si>
  <si>
    <t>ENSMUSG00000041164</t>
  </si>
  <si>
    <t>ENSMUSG00000045319</t>
  </si>
  <si>
    <t>ENSMUSG00000028494</t>
  </si>
  <si>
    <t>ENSMUSG00000033538</t>
  </si>
  <si>
    <t>ENSMUSG00000017428</t>
  </si>
  <si>
    <t>ENSMUSG00000039116</t>
  </si>
  <si>
    <t>ENSMUSG00000036721</t>
  </si>
  <si>
    <t>ENSMUSG00000033416</t>
  </si>
  <si>
    <t>ENSMUSG00000033220</t>
  </si>
  <si>
    <t>ENSMUSG00000036615</t>
  </si>
  <si>
    <t>ENSMUSG00000020096</t>
  </si>
  <si>
    <t>ENSMUSG00000040363</t>
  </si>
  <si>
    <t>ENSMUSG00000056028</t>
  </si>
  <si>
    <t>ENSMUSG00000038508</t>
  </si>
  <si>
    <t>ENSMUSG00000079484</t>
  </si>
  <si>
    <t>ENSMUSG00000026718</t>
  </si>
  <si>
    <t>ENSMUSG00000058435</t>
  </si>
  <si>
    <t>ENSMUSG00000030759</t>
  </si>
  <si>
    <t>ENSMUSG00000058019</t>
  </si>
  <si>
    <t>ENSMUSG00000030751</t>
  </si>
  <si>
    <t>ENSMUSG00000030750</t>
  </si>
  <si>
    <t>ENSMUSG00000020388</t>
  </si>
  <si>
    <t>ENSMUSG00000079174</t>
  </si>
  <si>
    <t>ENSMUSG00000001763</t>
  </si>
  <si>
    <t>ENSMUSG00000020383</t>
  </si>
  <si>
    <t>ENSMUSG00000024378</t>
  </si>
  <si>
    <t>ENSMUSG00000064090</t>
  </si>
  <si>
    <t>ENSMUSG00000020387</t>
  </si>
  <si>
    <t>ENSMUSG00000033083</t>
  </si>
  <si>
    <t>ENSMUSG00000050623</t>
  </si>
  <si>
    <t>ENSMUSG00000027378</t>
  </si>
  <si>
    <t>ENSMUSG00000004113</t>
  </si>
  <si>
    <t>ENSMUSG00000060477</t>
  </si>
  <si>
    <t>ENSMUSG00000061816</t>
  </si>
  <si>
    <t>ENSMUSG00000056752</t>
  </si>
  <si>
    <t>ENSMUSG00000039747</t>
  </si>
  <si>
    <t>ENSMUSG00000041782</t>
  </si>
  <si>
    <t>ENSMUSG00000020872</t>
  </si>
  <si>
    <t>ENSMUSG00000020877</t>
  </si>
  <si>
    <t>ENSMUSG00000020876</t>
  </si>
  <si>
    <t>ENSMUSG00000007379</t>
  </si>
  <si>
    <t>ENSMUSG00000031575</t>
  </si>
  <si>
    <t>ENSMUSG00000059412</t>
  </si>
  <si>
    <t>ENSMUSG00000041308</t>
  </si>
  <si>
    <t>ENSMUSG00000023272</t>
  </si>
  <si>
    <t>ENSMUSG00000037410</t>
  </si>
  <si>
    <t>ENSMUSG00000023277</t>
  </si>
  <si>
    <t>ENSMUSG00000023274</t>
  </si>
  <si>
    <t>ENSMUSG00000026158</t>
  </si>
  <si>
    <t>ENSMUSG00000040564</t>
  </si>
  <si>
    <t>ENSMUSG00000031972</t>
  </si>
  <si>
    <t>ENSMUSG00000040562</t>
  </si>
  <si>
    <t>ENSMUSG00000026621</t>
  </si>
  <si>
    <t>ENSMUSG00000026626</t>
  </si>
  <si>
    <t>ENSMUSG00000040899</t>
  </si>
  <si>
    <t>ENSMUSG00000031488</t>
  </si>
  <si>
    <t>ENSMUSG00000073599</t>
  </si>
  <si>
    <t>ENSMUSG00000022389</t>
  </si>
  <si>
    <t>ENSMUSG00000006517</t>
  </si>
  <si>
    <t>ENSMUSG00000072662</t>
  </si>
  <si>
    <t>ENSMUSG00000023495</t>
  </si>
  <si>
    <t>ENSMUSG00000051048</t>
  </si>
  <si>
    <t>ENSMUSG00000006519</t>
  </si>
  <si>
    <t>ENSMUSG00000031808</t>
  </si>
  <si>
    <t>ENSMUSG00000030287</t>
  </si>
  <si>
    <t>ENSMUSG00000030284</t>
  </si>
  <si>
    <t>ENSMUSG00000026536</t>
  </si>
  <si>
    <t>ENSMUSG00000040413</t>
  </si>
  <si>
    <t>ENSMUSG00000040412</t>
  </si>
  <si>
    <t>ENSMUSG00000040146</t>
  </si>
  <si>
    <t>ENSMUSG00000056708</t>
  </si>
  <si>
    <t>ENSMUSG00000031377</t>
  </si>
  <si>
    <t>ENSMUSG00000022436</t>
  </si>
  <si>
    <t>ENSMUSG00000022010</t>
  </si>
  <si>
    <t>ENSMUSG00000040782</t>
  </si>
  <si>
    <t>ENSMUSG00000022018</t>
  </si>
  <si>
    <t>ENSMUSG00000000811</t>
  </si>
  <si>
    <t>ENSMUSG00000055612</t>
  </si>
  <si>
    <t>ENSMUSG00000056124</t>
  </si>
  <si>
    <t>ENSMUSG00000056121</t>
  </si>
  <si>
    <t>ENSMUSG00000003283</t>
  </si>
  <si>
    <t>ENSMUSG00000031155</t>
  </si>
  <si>
    <t>ENSMUSG00000022636</t>
  </si>
  <si>
    <t>ENSMUSG00000020523</t>
  </si>
  <si>
    <t>ENSMUSG00000020520</t>
  </si>
  <si>
    <t>ENSMUSG00000023122</t>
  </si>
  <si>
    <t>ENSMUSG00000057541</t>
  </si>
  <si>
    <t>ENSMUSG00000047030</t>
  </si>
  <si>
    <t>ENSMUSG00000029134</t>
  </si>
  <si>
    <t>ENSMUSG00000026875</t>
  </si>
  <si>
    <t>ENSMUSG00000025432</t>
  </si>
  <si>
    <t>ENSMUSG00000037086</t>
  </si>
  <si>
    <t>ENSMUSG00000062127</t>
  </si>
  <si>
    <t>ENSMUSG00000038354</t>
  </si>
  <si>
    <t>ENSMUSG00000038351</t>
  </si>
  <si>
    <t>ENSMUSG00000013643</t>
  </si>
  <si>
    <t>ENSMUSG00000028669</t>
  </si>
  <si>
    <t>ENSMUSG00000089704</t>
  </si>
  <si>
    <t>ENSMUSG00000003134</t>
  </si>
  <si>
    <t>ENSMUSG00000003731</t>
  </si>
  <si>
    <t>ENSMUSG00000034614</t>
  </si>
  <si>
    <t>ENSMUSG00000028716</t>
  </si>
  <si>
    <t>ENSMUSG00000034613</t>
  </si>
  <si>
    <t>ENSMUSG00000074582</t>
  </si>
  <si>
    <t>ENSMUSG00000049940</t>
  </si>
  <si>
    <t>ENSMUSG00000025383</t>
  </si>
  <si>
    <t>ENSMUSG00000047810</t>
  </si>
  <si>
    <t>ENSMUSG00000019929</t>
  </si>
  <si>
    <t>ENSMUSG00000029401</t>
  </si>
  <si>
    <t>ENSMUSG00000037933</t>
  </si>
  <si>
    <t>ENSMUSG00000029405</t>
  </si>
  <si>
    <t>ENSMUSG00000034875</t>
  </si>
  <si>
    <t>ENSMUSG00000025366</t>
  </si>
  <si>
    <t>ENSMUSG00000043557</t>
  </si>
  <si>
    <t>ENSMUSG00000049624</t>
  </si>
  <si>
    <t>ENSMUSG00000035678</t>
  </si>
  <si>
    <t>ENSMUSG00000035900</t>
  </si>
  <si>
    <t>ENSMUSG00000066595</t>
  </si>
  <si>
    <t>ENSMUSG00000026989</t>
  </si>
  <si>
    <t>ENSMUSG00000021737</t>
  </si>
  <si>
    <t>ENSMUSG00000021733</t>
  </si>
  <si>
    <t>ENSMUSG00000028048</t>
  </si>
  <si>
    <t>ENSMUSG00000022270</t>
  </si>
  <si>
    <t>ENSMUSG00000035493</t>
  </si>
  <si>
    <t>ENSMUSG00000042377</t>
  </si>
  <si>
    <t>ENSMUSG00000045414</t>
  </si>
  <si>
    <t>ENSMUSG00000025165</t>
  </si>
  <si>
    <t>ENSMUSG00000052713</t>
  </si>
  <si>
    <t>ENSMUSG00000017167</t>
  </si>
  <si>
    <t>ENSMUSG00000032058</t>
  </si>
  <si>
    <t>ENSMUSG00000017767</t>
  </si>
  <si>
    <t>ENSMUSG00000017764</t>
  </si>
  <si>
    <t>ENSMUSG00000020676</t>
  </si>
  <si>
    <t>ENSMUSG00000045092</t>
  </si>
  <si>
    <t>ENSMUSG00000037017</t>
  </si>
  <si>
    <t>ENSMUSG00000001517</t>
  </si>
  <si>
    <t>ENSMUSG00000045095</t>
  </si>
  <si>
    <t>ENSMUSG00000007659</t>
  </si>
  <si>
    <t>ENSMUSG00000042203</t>
  </si>
  <si>
    <t>ENSMUSG00000050379</t>
  </si>
  <si>
    <t>ENSMUSG00000078584</t>
  </si>
  <si>
    <t>ENSMUSG00000070564</t>
  </si>
  <si>
    <t>ENSMUSG00000002083</t>
  </si>
  <si>
    <t>ENSMUSG00000032436</t>
  </si>
  <si>
    <t>ENSMUSG00000044786</t>
  </si>
  <si>
    <t>ENSMUSG00000019872</t>
  </si>
  <si>
    <t>ENSMUSG00000024143</t>
  </si>
  <si>
    <t>ENSMUSG00000060216</t>
  </si>
  <si>
    <t>ENSMUSG00000021930</t>
  </si>
  <si>
    <t>ENSMUSG00000022837</t>
  </si>
  <si>
    <t>ENSMUSG00000022836</t>
  </si>
  <si>
    <t>ENSMUSG00000045326</t>
  </si>
  <si>
    <t>ENSMUSG00000045322</t>
  </si>
  <si>
    <t>ENSMUSG00000068735</t>
  </si>
  <si>
    <t>ENSMUSG00000027540</t>
  </si>
  <si>
    <t>ENSMUSG00000020261</t>
  </si>
  <si>
    <t>ENSMUSG00000027544</t>
  </si>
  <si>
    <t>ENSMUSG00000057246</t>
  </si>
  <si>
    <t>ENSMUSG00000050370</t>
  </si>
  <si>
    <t>ENSMUSG00000032198</t>
  </si>
  <si>
    <t>ENSMUSG00000001281</t>
  </si>
  <si>
    <t>ENSMUSG00000090877</t>
  </si>
  <si>
    <t>ENSMUSG00000054404</t>
  </si>
  <si>
    <t>ENSMUSG00000055978</t>
  </si>
  <si>
    <t>ENSMUSG00000020062</t>
  </si>
  <si>
    <t>ENSMUSG00000020063</t>
  </si>
  <si>
    <t>ENSMUSG00000020061</t>
  </si>
  <si>
    <t>ENSMUSG00000005686</t>
  </si>
  <si>
    <t>ENSMUSG00000026705</t>
  </si>
  <si>
    <t>ENSMUSG00000058427</t>
  </si>
  <si>
    <t>ENSMUSG00000023467</t>
  </si>
  <si>
    <t>ENSMUSG00000038517</t>
  </si>
  <si>
    <t>ENSMUSG00000026630</t>
  </si>
  <si>
    <t>ENSMUSG00000038518</t>
  </si>
  <si>
    <t>ENSMUSG00000030763</t>
  </si>
  <si>
    <t>ENSMUSG00000023805</t>
  </si>
  <si>
    <t>ENSMUSG00000027499</t>
  </si>
  <si>
    <t>ENSMUSG00000025545</t>
  </si>
  <si>
    <t>ENSMUSG00000037643</t>
  </si>
  <si>
    <t>ENSMUSG00000001995</t>
  </si>
  <si>
    <t>ENSMUSG00000030613</t>
  </si>
  <si>
    <t>ENSMUSG00000030966</t>
  </si>
  <si>
    <t>ENSMUSG00000071180</t>
  </si>
  <si>
    <t>ENSMUSG00000026229</t>
  </si>
  <si>
    <t>ENSMUSG00000070691</t>
  </si>
  <si>
    <t>ENSMUSG00000041771</t>
  </si>
  <si>
    <t>ENSMUSG00000022595</t>
  </si>
  <si>
    <t>ENSMUSG00000038608</t>
  </si>
  <si>
    <t>ENSMUSG00000020844</t>
  </si>
  <si>
    <t>ENSMUSG00000037060</t>
  </si>
  <si>
    <t>ENSMUSG00000071648</t>
  </si>
  <si>
    <t>ENSMUSG00000061808</t>
  </si>
  <si>
    <t>ENSMUSG00000020284</t>
  </si>
  <si>
    <t>ENSMUSG00000047986</t>
  </si>
  <si>
    <t>ENSMUSG00000054889</t>
  </si>
  <si>
    <t>ENSMUSG00000048232</t>
  </si>
  <si>
    <t>ENSMUSG00000018906</t>
  </si>
  <si>
    <t>ENSMUSG00000062345</t>
  </si>
  <si>
    <t>ENSMUSG00000024431</t>
  </si>
  <si>
    <t>ENSMUSG00000040557</t>
  </si>
  <si>
    <t>ENSMUSG00000037260</t>
  </si>
  <si>
    <t>ENSMUSG00000023008</t>
  </si>
  <si>
    <t>ENSMUSG00000026525</t>
  </si>
  <si>
    <t>ENSMUSG00000041408</t>
  </si>
  <si>
    <t>ENSMUSG00000021765</t>
  </si>
  <si>
    <t>ENSMUSG00000023000</t>
  </si>
  <si>
    <t>ENSMUSG00000003452</t>
  </si>
  <si>
    <t>ENSMUSG00000026031</t>
  </si>
  <si>
    <t>ENSMUSG00000070313</t>
  </si>
  <si>
    <t>ENSMUSG00000014846</t>
  </si>
  <si>
    <t>ENSMUSG00000022025</t>
  </si>
  <si>
    <t>ENSMUSG00000022026</t>
  </si>
  <si>
    <t>ENSMUSG00000031389</t>
  </si>
  <si>
    <t>ENSMUSG00000066129</t>
  </si>
  <si>
    <t>ENSMUSG00000031633</t>
  </si>
  <si>
    <t>ENSMUSG00000031635</t>
  </si>
  <si>
    <t>ENSMUSG00000031636</t>
  </si>
  <si>
    <t>ENSMUSG00000027562</t>
  </si>
  <si>
    <t>ENSMUSG00000031149</t>
  </si>
  <si>
    <t>ENSMUSG00000040040</t>
  </si>
  <si>
    <t>ENSMUSG00000040046</t>
  </si>
  <si>
    <t>ENSMUSG00000057531</t>
  </si>
  <si>
    <t>ENSMUSG00000026459</t>
  </si>
  <si>
    <t>ENSMUSG00000049556</t>
  </si>
  <si>
    <t>ENSMUSG00000017943</t>
  </si>
  <si>
    <t>ENSMUSG00000034040</t>
  </si>
  <si>
    <t>ENSMUSG00000015312</t>
  </si>
  <si>
    <t>ENSMUSG00000056220</t>
  </si>
  <si>
    <t>ENSMUSG00000056222</t>
  </si>
  <si>
    <t>ENSMUSG00000036931</t>
  </si>
  <si>
    <t>ENSMUSG00000020962</t>
  </si>
  <si>
    <t>ENSMUSG00000034891</t>
  </si>
  <si>
    <t>ENSMUSG00000038365</t>
  </si>
  <si>
    <t>ENSMUSG00000005774</t>
  </si>
  <si>
    <t>ENSMUSG00000029270</t>
  </si>
  <si>
    <t>ENSMUSG00000022512</t>
  </si>
  <si>
    <t>ENSMUSG00000052105</t>
  </si>
  <si>
    <t>ENSMUSG00000089715</t>
  </si>
  <si>
    <t>ENSMUSG00000022519</t>
  </si>
  <si>
    <t>ENSMUSG00000057193</t>
  </si>
  <si>
    <t>ENSMUSG00000022602</t>
  </si>
  <si>
    <t>ENSMUSG00000025888</t>
  </si>
  <si>
    <t>ENSMUSG00000028709</t>
  </si>
  <si>
    <t>ENSMUSG00000044098</t>
  </si>
  <si>
    <t>ENSMUSG00000025551</t>
  </si>
  <si>
    <t>ENSMUSG00000020592</t>
  </si>
  <si>
    <t>ENSMUSG00000022358</t>
  </si>
  <si>
    <t>ENSMUSG00000025555</t>
  </si>
  <si>
    <t>ENSMUSG00000040136</t>
  </si>
  <si>
    <t>ENSMUSG00000034607</t>
  </si>
  <si>
    <t>ENSMUSG00000015950</t>
  </si>
  <si>
    <t>ENSMUSG00000010307</t>
  </si>
  <si>
    <t>ENSMUSG00000091055</t>
  </si>
  <si>
    <t>ENSMUSG00000029475</t>
  </si>
  <si>
    <t>ENSMUSG00000039031</t>
  </si>
  <si>
    <t>ENSMUSG00000029470</t>
  </si>
  <si>
    <t>ENSMUSG00000025370</t>
  </si>
  <si>
    <t>ENSMUSG00000033065</t>
  </si>
  <si>
    <t>ENSMUSG00000025372</t>
  </si>
  <si>
    <t>ENSMUSG00000057069</t>
  </si>
  <si>
    <t>ENSMUSG00000042784</t>
  </si>
  <si>
    <t>ENSMUSG00000028675</t>
  </si>
  <si>
    <t>ENSMUSG00000035392</t>
  </si>
  <si>
    <t>ENSMUSG00000048440</t>
  </si>
  <si>
    <t>ENSMUSG00000034463</t>
  </si>
  <si>
    <t>ENSMUSG00000025085</t>
  </si>
  <si>
    <t>ENSMUSG00000058325</t>
  </si>
  <si>
    <t>ENSMUSG00000021701</t>
  </si>
  <si>
    <t>ENSMUSG00000021702</t>
  </si>
  <si>
    <t>ENSMUSG00000018648</t>
  </si>
  <si>
    <t>ENSMUSG00000049972</t>
  </si>
  <si>
    <t>ENSMUSG00000020608</t>
  </si>
  <si>
    <t>ENSMUSG00000075404</t>
  </si>
  <si>
    <t>ENSMUSG00000020605</t>
  </si>
  <si>
    <t>ENSMUSG00000046034</t>
  </si>
  <si>
    <t>ENSMUSG00000016494</t>
  </si>
  <si>
    <t>ENSMUSG00000064210</t>
  </si>
  <si>
    <t>ENSMUSG00000044788</t>
  </si>
  <si>
    <t>ENSMUSG00000032036</t>
  </si>
  <si>
    <t>ENSMUSG00000018001</t>
  </si>
  <si>
    <t>ENSMUSG00000078202</t>
  </si>
  <si>
    <t>ENSMUSG00000019841</t>
  </si>
  <si>
    <t>ENSMUSG00000074211</t>
  </si>
  <si>
    <t>ENSMUSG00000054136</t>
  </si>
  <si>
    <t>ENSMUSG00000049154</t>
  </si>
  <si>
    <t>ENSMUSG00000024640</t>
  </si>
  <si>
    <t>ENSMUSG00000020279</t>
  </si>
  <si>
    <t>ENSMUSG00000062753</t>
  </si>
  <si>
    <t>ENSMUSG00000020275</t>
  </si>
  <si>
    <t>ENSMUSG00000020089</t>
  </si>
  <si>
    <t>ENSMUSG00000078970</t>
  </si>
  <si>
    <t>ENSMUSG00000032554</t>
  </si>
  <si>
    <t>ENSMUSG00000054364</t>
  </si>
  <si>
    <t>ENSMUSG00000024772</t>
  </si>
  <si>
    <t>ENSMUSG00000054162</t>
  </si>
  <si>
    <t>ENSMUSG00000024778</t>
  </si>
  <si>
    <t>ENSMUSG00000032959</t>
  </si>
  <si>
    <t>ENSMUSG00000026730</t>
  </si>
  <si>
    <t>ENSMUSG00000033554</t>
  </si>
  <si>
    <t>ENSMUSG00000041548</t>
  </si>
  <si>
    <t>ENSMUSG00000010311</t>
  </si>
  <si>
    <t>ENSMUSG00000054509</t>
  </si>
  <si>
    <t>ENSMUSG00000037652</t>
  </si>
  <si>
    <t>ENSMUSG00000027483</t>
  </si>
  <si>
    <t>ENSMUSG00000021754</t>
  </si>
  <si>
    <t>ENSMUSG00000037098</t>
  </si>
  <si>
    <t>ENSMUSG00000024590</t>
  </si>
  <si>
    <t>ENSMUSG00000003849</t>
  </si>
  <si>
    <t>ENSMUSG00000059077</t>
  </si>
  <si>
    <t>ENSMUSG00000037071</t>
  </si>
  <si>
    <t>ENSMUSG00000018740</t>
  </si>
  <si>
    <t>ENSMUSG00000031555</t>
  </si>
  <si>
    <t>ENSMUSG00000031557</t>
  </si>
  <si>
    <t>ENSMUSG00000020297</t>
  </si>
  <si>
    <t>ENSMUSG00000030774</t>
  </si>
  <si>
    <t>ENSMUSG00000050910</t>
  </si>
  <si>
    <t>ENSMUSG00000027737</t>
  </si>
  <si>
    <t>ENSMUSG00000026356</t>
  </si>
  <si>
    <t>ENSMUSG00000024942</t>
  </si>
  <si>
    <t>ENSMUSG00000018919</t>
  </si>
  <si>
    <t>ENSMUSG00000000385</t>
  </si>
  <si>
    <t>ENSMUSG00000027739</t>
  </si>
  <si>
    <t>ENSMUSG00000014547</t>
  </si>
  <si>
    <t>ENSMUSG00000042961</t>
  </si>
  <si>
    <t>ENSMUSG00000046733</t>
  </si>
  <si>
    <t>ENSMUSG00000062210</t>
  </si>
  <si>
    <t>ENSMUSG00000050511</t>
  </si>
  <si>
    <t>ENSMUSG00000026193</t>
  </si>
  <si>
    <t>ENSMUSG00000000948</t>
  </si>
  <si>
    <t>ENSMUSG00000040943</t>
  </si>
  <si>
    <t>ENSMUSG00000030556</t>
  </si>
  <si>
    <t>ENSMUSG00000030555</t>
  </si>
  <si>
    <t>ENSMUSG00000030554</t>
  </si>
  <si>
    <t>ENSMUSG00000037270</t>
  </si>
  <si>
    <t>ENSMUSG00000041439</t>
  </si>
  <si>
    <t>ENSMUSG00000031822</t>
  </si>
  <si>
    <t>ENSMUSG00000040433</t>
  </si>
  <si>
    <t>ENSMUSG00000023032</t>
  </si>
  <si>
    <t>ENSMUSG00000040430</t>
  </si>
  <si>
    <t>ENSMUSG00000023034</t>
  </si>
  <si>
    <t>ENSMUSG00000019737</t>
  </si>
  <si>
    <t>ENSMUSG00000019734</t>
  </si>
  <si>
    <t>ENSMUSG00000022037</t>
  </si>
  <si>
    <t>ENSMUSG00000025969</t>
  </si>
  <si>
    <t>ENSMUSG00000022295</t>
  </si>
  <si>
    <t>ENSMUSG00000046879</t>
  </si>
  <si>
    <t>ENSMUSG00000073489</t>
  </si>
  <si>
    <t>ENSMUSG00000031605</t>
  </si>
  <si>
    <t>ENSMUSG00000037234</t>
  </si>
  <si>
    <t>ENSMUSG00000031608</t>
  </si>
  <si>
    <t>ENSMUSG00000057454</t>
  </si>
  <si>
    <t>ENSMUSG00000021097</t>
  </si>
  <si>
    <t>ENSMUSG00000000290</t>
  </si>
  <si>
    <t>ENSMUSG00000038013</t>
  </si>
  <si>
    <t>ENSMUSG00000039542</t>
  </si>
  <si>
    <t>ENSMUSG00000054716</t>
  </si>
  <si>
    <t>ENSMUSG00000038370</t>
  </si>
  <si>
    <t>ENSMUSG00000020475</t>
  </si>
  <si>
    <t>ENSMUSG00000026864</t>
  </si>
  <si>
    <t>ENSMUSG00000020473</t>
  </si>
  <si>
    <t>ENSMUSG00000091191</t>
  </si>
  <si>
    <t>ENSMUSG00000022505</t>
  </si>
  <si>
    <t>ENSMUSG00000022504</t>
  </si>
  <si>
    <t>ENSMUSG00000028843</t>
  </si>
  <si>
    <t>ENSMUSG00000038179</t>
  </si>
  <si>
    <t>ENSMUSG00000034675</t>
  </si>
  <si>
    <t>ENSMUSG00000022996</t>
  </si>
  <si>
    <t>ENSMUSG00000058881</t>
  </si>
  <si>
    <t>ENSMUSG00000015942</t>
  </si>
  <si>
    <t>ENSMUSG00000001020</t>
  </si>
  <si>
    <t>ENSMUSG00000021676</t>
  </si>
  <si>
    <t>ENSMUSG00000047879</t>
  </si>
  <si>
    <t>ENSMUSG00000021678</t>
  </si>
  <si>
    <t>ENSMUSG00000045659</t>
  </si>
  <si>
    <t>ENSMUSG00000042686</t>
  </si>
  <si>
    <t>ENSMUSG00000042684</t>
  </si>
  <si>
    <t>ENSMUSG00000028607</t>
  </si>
  <si>
    <t>ENSMUSG00000036256</t>
  </si>
  <si>
    <t>ENSMUSG00000034706</t>
  </si>
  <si>
    <t>ENSMUSG00000069114</t>
  </si>
  <si>
    <t>ENSMUSG00000074673</t>
  </si>
  <si>
    <t>ENSMUSG00000021070</t>
  </si>
  <si>
    <t>ENSMUSG00000025743</t>
  </si>
  <si>
    <t>ENSMUSG00000074676</t>
  </si>
  <si>
    <t>ENSMUSG00000037034</t>
  </si>
  <si>
    <t>ENSMUSG00000029510</t>
  </si>
  <si>
    <t>ENSMUSG00000049897</t>
  </si>
  <si>
    <t>ENSMUSG00000028024</t>
  </si>
  <si>
    <t>ENSMUSG00000023921</t>
  </si>
  <si>
    <t>ENSMUSG00000049892</t>
  </si>
  <si>
    <t>ENSMUSG00000023927</t>
  </si>
  <si>
    <t>ENSMUSG00000028020</t>
  </si>
  <si>
    <t>ENSMUSG00000034923</t>
  </si>
  <si>
    <t>ENSMUSG00000034926</t>
  </si>
  <si>
    <t>ENSMUSG00000016529</t>
  </si>
  <si>
    <t>ENSMUSG00000008843</t>
  </si>
  <si>
    <t>ENSMUSG00000068882</t>
  </si>
  <si>
    <t>ENSMUSG00000066643</t>
  </si>
  <si>
    <t>ENSMUSG00000068220</t>
  </si>
  <si>
    <t>ENSMUSG00000028777</t>
  </si>
  <si>
    <t>ENSMUSG00000029875</t>
  </si>
  <si>
    <t>ENSMUSG00000017144</t>
  </si>
  <si>
    <t>ENSMUSG00000075415</t>
  </si>
  <si>
    <t>ENSMUSG00000032702</t>
  </si>
  <si>
    <t>ENSMUSG00000079363</t>
  </si>
  <si>
    <t>ENSMUSG00000074207</t>
  </si>
  <si>
    <t>ENSMUSG00000064224</t>
  </si>
  <si>
    <t>ENSMUSG00000004936</t>
  </si>
  <si>
    <t>ENSMUSG00000068154</t>
  </si>
  <si>
    <t>ENSMUSG00000049091</t>
  </si>
  <si>
    <t>ENSMUSG00000042351</t>
  </si>
  <si>
    <t>ENSMUSG00000032382</t>
  </si>
  <si>
    <t>ENSMUSG00000042426</t>
  </si>
  <si>
    <t>ENSMUSG00000042359</t>
  </si>
  <si>
    <t>ENSMUSG00000059824</t>
  </si>
  <si>
    <t>ENSMUSG00000032411</t>
  </si>
  <si>
    <t>ENSMUSG00000032418</t>
  </si>
  <si>
    <t>ENSMUSG00000020108</t>
  </si>
  <si>
    <t>ENSMUSG00000078762</t>
  </si>
  <si>
    <t>ENSMUSG00000057329</t>
  </si>
  <si>
    <t>ENSMUSG00000050558</t>
  </si>
  <si>
    <t>ENSMUSG00000036390</t>
  </si>
  <si>
    <t>ENSMUSG00000037716</t>
  </si>
  <si>
    <t>ENSMUSG00000046314</t>
  </si>
  <si>
    <t>ENSMUSG00000024299</t>
  </si>
  <si>
    <t>ENSMUSG00000032898</t>
  </si>
  <si>
    <t>ENSMUSG00000058715</t>
  </si>
  <si>
    <t>ENSMUSG00000033389</t>
  </si>
  <si>
    <t>ENSMUSG00000021884</t>
  </si>
  <si>
    <t>ENSMUSG00000032560</t>
  </si>
  <si>
    <t>ENSMUSG00000032563</t>
  </si>
  <si>
    <t>ENSMUSG00000061132</t>
  </si>
  <si>
    <t>ENSMUSG00000002379</t>
  </si>
  <si>
    <t>ENSMUSG00000051934</t>
  </si>
  <si>
    <t>ENSMUSG00000037868</t>
  </si>
  <si>
    <t>ENSMUSG00000020048</t>
  </si>
  <si>
    <t>ENSMUSG00000079560</t>
  </si>
  <si>
    <t>ENSMUSG00000079563</t>
  </si>
  <si>
    <t>ENSMUSG00000037712</t>
  </si>
  <si>
    <t>ENSMUSG00000020042</t>
  </si>
  <si>
    <t>ENSMUSG00000040339</t>
  </si>
  <si>
    <t>ENSMUSG00000039349</t>
  </si>
  <si>
    <t>ENSMUSG00000038576</t>
  </si>
  <si>
    <t>ENSMUSG00000024909</t>
  </si>
  <si>
    <t>ENSMUSG00000032966</t>
  </si>
  <si>
    <t>ENSMUSG00000024900</t>
  </si>
  <si>
    <t>ENSMUSG00000024619</t>
  </si>
  <si>
    <t>ENSMUSG00000079418</t>
  </si>
  <si>
    <t>ENSMUSG00000078945</t>
  </si>
  <si>
    <t>ENSMUSG00000036249</t>
  </si>
  <si>
    <t>ENSMUSG00000024340</t>
  </si>
  <si>
    <t>ENSMUSG00000036718</t>
  </si>
  <si>
    <t>ENSMUSG00000000628</t>
  </si>
  <si>
    <t>ENSMUSG00000041556</t>
  </si>
  <si>
    <t>ENSMUSG00000024583</t>
  </si>
  <si>
    <t>ENSMUSG00000029771</t>
  </si>
  <si>
    <t>ENSMUSG00000026616</t>
  </si>
  <si>
    <t>ENSMUSG00000033767</t>
  </si>
  <si>
    <t>ENSMUSG00000033763</t>
  </si>
  <si>
    <t>ENSMUSG00000039713</t>
  </si>
  <si>
    <t>ENSMUSG00000020828</t>
  </si>
  <si>
    <t>ENSMUSG00000020829</t>
  </si>
  <si>
    <t>ENSMUSG00000020826</t>
  </si>
  <si>
    <t>ENSMUSG00000020827</t>
  </si>
  <si>
    <t>ENSMUSG00000054203</t>
  </si>
  <si>
    <t>ENSMUSG00000020919</t>
  </si>
  <si>
    <t>ENSMUSG00000030701</t>
  </si>
  <si>
    <t>ENSMUSG00000020911</t>
  </si>
  <si>
    <t>ENSMUSG00000026167</t>
  </si>
  <si>
    <t>ENSMUSG00000059447</t>
  </si>
  <si>
    <t>ENSMUSG00000062563</t>
  </si>
  <si>
    <t>ENSMUSG00000018927</t>
  </si>
  <si>
    <t>ENSMUSG00000092299</t>
  </si>
  <si>
    <t>ENSMUSG00000037447</t>
  </si>
  <si>
    <t>ENSMUSG00000067049</t>
  </si>
  <si>
    <t>ENSMUSG00000070780</t>
  </si>
  <si>
    <t>ENSMUSG00000041889</t>
  </si>
  <si>
    <t>ENSMUSG00000030124</t>
  </si>
  <si>
    <t>ENSMUSG00000030125</t>
  </si>
  <si>
    <t>ENSMUSG00000026189</t>
  </si>
  <si>
    <t>ENSMUSG00000026188</t>
  </si>
  <si>
    <t>ENSMUSG00000050520</t>
  </si>
  <si>
    <t>ENSMUSG00000026187</t>
  </si>
  <si>
    <t>ENSMUSG00000026185</t>
  </si>
  <si>
    <t>ENSMUSG00000050323</t>
  </si>
  <si>
    <t>ENSMUSG00000030830</t>
  </si>
  <si>
    <t>ENSMUSG00000005656</t>
  </si>
  <si>
    <t>ENSMUSG00000056737</t>
  </si>
  <si>
    <t>ENSMUSG00000004707</t>
  </si>
  <si>
    <t>ENSMUSG00000071547</t>
  </si>
  <si>
    <t>ENSMUSG00000038718</t>
  </si>
  <si>
    <t>ENSMUSG00000032572</t>
  </si>
  <si>
    <t>ENSMUSG00000031838</t>
  </si>
  <si>
    <t>ENSMUSG00000030232</t>
  </si>
  <si>
    <t>ENSMUSG00000062175</t>
  </si>
  <si>
    <t>ENSMUSG00000034066</t>
  </si>
  <si>
    <t>ENSMUSG00000021242</t>
  </si>
  <si>
    <t>ENSMUSG00000074445</t>
  </si>
  <si>
    <t>ENSMUSG00000056116</t>
  </si>
  <si>
    <t>ENSMUSG00000057469</t>
  </si>
  <si>
    <t>ENSMUSG00000029075</t>
  </si>
  <si>
    <t>ENSMUSG00000026479</t>
  </si>
  <si>
    <t>ENSMUSG00000026478</t>
  </si>
  <si>
    <t>ENSMUSG00000040061</t>
  </si>
  <si>
    <t>ENSMUSG00000056025</t>
  </si>
  <si>
    <t>ENSMUSG00000022197</t>
  </si>
  <si>
    <t>ENSMUSG00000003541</t>
  </si>
  <si>
    <t>ENSMUSG00000021508</t>
  </si>
  <si>
    <t>ENSMUSG00000022754</t>
  </si>
  <si>
    <t>ENSMUSG00000022755</t>
  </si>
  <si>
    <t>ENSMUSG00000003382</t>
  </si>
  <si>
    <t>ENSMUSG00000030168</t>
  </si>
  <si>
    <t>ENSMUSG00000029188</t>
  </si>
  <si>
    <t>ENSMUSG00000029189</t>
  </si>
  <si>
    <t>ENSMUSG00000005873</t>
  </si>
  <si>
    <t>ENSMUSG00000057880</t>
  </si>
  <si>
    <t>ENSMUSG00000026870</t>
  </si>
  <si>
    <t>ENSMUSG00000029217</t>
  </si>
  <si>
    <t>ENSMUSG00000015340</t>
  </si>
  <si>
    <t>ENSMUSG00000020444</t>
  </si>
  <si>
    <t>ENSMUSG00000026879</t>
  </si>
  <si>
    <t>ENSMUSG00000026981</t>
  </si>
  <si>
    <t>ENSMUSG00000026980</t>
  </si>
  <si>
    <t>ENSMUSG00000022370</t>
  </si>
  <si>
    <t>ENSMUSG00000029851</t>
  </si>
  <si>
    <t>ENSMUSG00000029672</t>
  </si>
  <si>
    <t>ENSMUSG00000022378</t>
  </si>
  <si>
    <t>ENSMUSG00000029675</t>
  </si>
  <si>
    <t>ENSMUSG00000034667</t>
  </si>
  <si>
    <t>ENSMUSG00000069729</t>
  </si>
  <si>
    <t>ENSMUSG00000034663</t>
  </si>
  <si>
    <t>ENSMUSG00000015970</t>
  </si>
  <si>
    <t>ENSMUSG00000031886</t>
  </si>
  <si>
    <t>ENSMUSG00000021665</t>
  </si>
  <si>
    <t>ENSMUSG00000048865</t>
  </si>
  <si>
    <t>ENSMUSG00000009035</t>
  </si>
  <si>
    <t>ENSMUSG00000029322</t>
  </si>
  <si>
    <t>ENSMUSG00000021357</t>
  </si>
  <si>
    <t>ENSMUSG00000029326</t>
  </si>
  <si>
    <t>ENSMUSG00000021356</t>
  </si>
  <si>
    <t>ENSMUSG00000028100</t>
  </si>
  <si>
    <t>ENSMUSG00000046516</t>
  </si>
  <si>
    <t>ENSMUSG00000023030</t>
  </si>
  <si>
    <t>ENSMUSG00000028617</t>
  </si>
  <si>
    <t>ENSMUSG00000034714</t>
  </si>
  <si>
    <t>ENSMUSG00000056413</t>
  </si>
  <si>
    <t>ENSMUSG00000028581</t>
  </si>
  <si>
    <t>ENSMUSG00000021068</t>
  </si>
  <si>
    <t>ENSMUSG00000034485</t>
  </si>
  <si>
    <t>ENSMUSG00000052102</t>
  </si>
  <si>
    <t>ENSMUSG00000032715</t>
  </si>
  <si>
    <t>ENSMUSG00000028035</t>
  </si>
  <si>
    <t>ENSMUSG00000016534</t>
  </si>
  <si>
    <t>ENSMUSG00000008855</t>
  </si>
  <si>
    <t>ENSMUSG00000025190</t>
  </si>
  <si>
    <t>ENSMUSG00000042502</t>
  </si>
  <si>
    <t>ENSMUSG00000052212</t>
  </si>
  <si>
    <t>ENSMUSG00000053617</t>
  </si>
  <si>
    <t>ENSMUSG00000004837</t>
  </si>
  <si>
    <t>ENSMUSG00000021477</t>
  </si>
  <si>
    <t>ENSMUSG00000021474</t>
  </si>
  <si>
    <t>ENSMUSG00000040016</t>
  </si>
  <si>
    <t>ENSMUSG00000026547</t>
  </si>
  <si>
    <t>ENSMUSG00000006262</t>
  </si>
  <si>
    <t>ENSMUSG00000003477</t>
  </si>
  <si>
    <t>ENSMUSG00000032089</t>
  </si>
  <si>
    <t>ENSMUSG00000032081</t>
  </si>
  <si>
    <t>ENSMUSG00000032080</t>
  </si>
  <si>
    <t>ENSMUSG00000032087</t>
  </si>
  <si>
    <t>ENSMUSG00000032085</t>
  </si>
  <si>
    <t>ENSMUSG00000042340</t>
  </si>
  <si>
    <t>ENSMUSG00000042349</t>
  </si>
  <si>
    <t>ENSMUSG00000017688</t>
  </si>
  <si>
    <t>ENSMUSG00000032402</t>
  </si>
  <si>
    <t>ENSMUSG00000020132</t>
  </si>
  <si>
    <t>ENSMUSG00000074102</t>
  </si>
  <si>
    <t>ENSMUSG00000020053</t>
  </si>
  <si>
    <t>ENSMUSG00000020052</t>
  </si>
  <si>
    <t>ENSMUSG00000020057</t>
  </si>
  <si>
    <t>ENSMUSG00000002365</t>
  </si>
  <si>
    <t>ENSMUSG00000053166</t>
  </si>
  <si>
    <t>ENSMUSG00000001497</t>
  </si>
  <si>
    <t>ENSMUSG00000002847</t>
  </si>
  <si>
    <t>ENSMUSG00000032575</t>
  </si>
  <si>
    <t>ENSMUSG00000002565</t>
  </si>
  <si>
    <t>ENSMUSG00000037703</t>
  </si>
  <si>
    <t>gene_name</t>
  </si>
  <si>
    <t>ENSMUSG00000018846</t>
  </si>
  <si>
    <t>ENSMUSG00000001864</t>
  </si>
  <si>
    <t>ENSMUSG00000025104</t>
  </si>
  <si>
    <t>ENSMUSG00000044177</t>
  </si>
  <si>
    <t>ENSMUSG00000025105</t>
  </si>
  <si>
    <t>ENSMUSG00000074892</t>
  </si>
  <si>
    <t>ENSMUSG00000000531</t>
  </si>
  <si>
    <t>ENSMUSG00000038543</t>
  </si>
  <si>
    <t>ENSMUSG00000050069</t>
  </si>
  <si>
    <t>ENSMUSG00000050106</t>
  </si>
  <si>
    <t>ENSMUSG00000036273</t>
  </si>
  <si>
    <t>ENSMUSG00000024334</t>
  </si>
  <si>
    <t>ENSMUSG00000010660</t>
  </si>
  <si>
    <t>ENSMUSG00000024987</t>
  </si>
  <si>
    <t>ENSMUSG00000063779</t>
  </si>
  <si>
    <t>ENSMUSG00000030954</t>
  </si>
  <si>
    <t>ENSMUSG00000037679</t>
  </si>
  <si>
    <t>ENSMUSG00000059588</t>
  </si>
  <si>
    <t>ENSMUSG00000044005</t>
  </si>
  <si>
    <t>ENSMUSG00000059586</t>
  </si>
  <si>
    <t>ENSMUSG00000026668</t>
  </si>
  <si>
    <t>ENSMUSG00000036503</t>
  </si>
  <si>
    <t>ENSMUSG00000033752</t>
  </si>
  <si>
    <t>ENSMUSG00000020838</t>
  </si>
  <si>
    <t>ENSMUSG00000036504</t>
  </si>
  <si>
    <t>ENSMUSG00000058690</t>
  </si>
  <si>
    <t>ENSMUSG00000020830</t>
  </si>
  <si>
    <t>ENSMUSG00000041132</t>
  </si>
  <si>
    <t>ENSMUSG00000024247</t>
  </si>
  <si>
    <t>ENSMUSG00000030713</t>
  </si>
  <si>
    <t>ENSMUSG00000020901</t>
  </si>
  <si>
    <t>ENSMUSG00000020900</t>
  </si>
  <si>
    <t>ENSMUSG00000027227</t>
  </si>
  <si>
    <t>ENSMUSG00000023236</t>
  </si>
  <si>
    <t>ENSMUSG00000023235</t>
  </si>
  <si>
    <t>ENSMUSG00000067071</t>
  </si>
  <si>
    <t>ENSMUSG00000061928</t>
  </si>
  <si>
    <t>ENSMUSG00000038725</t>
  </si>
  <si>
    <t>ENSMUSG00000039633</t>
  </si>
  <si>
    <t>ENSMUSG00000058056</t>
  </si>
  <si>
    <t>ENSMUSG00000040859</t>
  </si>
  <si>
    <t>ENSMUSG00000031537</t>
  </si>
  <si>
    <t>ENSMUSG00000023348</t>
  </si>
  <si>
    <t>ENSMUSG00000026269</t>
  </si>
  <si>
    <t>ENSMUSG00000031530</t>
  </si>
  <si>
    <t>ENSMUSG00000030827</t>
  </si>
  <si>
    <t>ENSMUSG00000030826</t>
  </si>
  <si>
    <t>ENSMUSG00000030825</t>
  </si>
  <si>
    <t>ENSMUSG00000031539</t>
  </si>
  <si>
    <t>ENSMUSG00000031842</t>
  </si>
  <si>
    <t>ENSMUSG00000069601</t>
  </si>
  <si>
    <t>ENSMUSG00000058317</t>
  </si>
  <si>
    <t>ENSMUSG00000051316</t>
  </si>
  <si>
    <t>ENSMUSG00000006463</t>
  </si>
  <si>
    <t>ENSMUSG00000020782</t>
  </si>
  <si>
    <t>ENSMUSG00000002992</t>
  </si>
  <si>
    <t>ENSMUSG00000035783</t>
  </si>
  <si>
    <t>ENSMUSG00000051000</t>
  </si>
  <si>
    <t>ENSMUSG00000056054</t>
  </si>
  <si>
    <t>ENSMUSG00000024805</t>
  </si>
  <si>
    <t>ENSMUSG00000073792</t>
  </si>
  <si>
    <t>ENSMUSG00000031286</t>
  </si>
  <si>
    <t>ENSMUSG00000038034</t>
  </si>
  <si>
    <t>ENSMUSG00000022747</t>
  </si>
  <si>
    <t>ENSMUSG00000022742</t>
  </si>
  <si>
    <t>ENSMUSG00000043004</t>
  </si>
  <si>
    <t>ENSMUSG00000043003</t>
  </si>
  <si>
    <t>ENSMUSG00000052026</t>
  </si>
  <si>
    <t>ENSMUSG00000029190</t>
  </si>
  <si>
    <t>ENSMUSG00000031068</t>
  </si>
  <si>
    <t>ENSMUSG00000029201</t>
  </si>
  <si>
    <t>ENSMUSG00000027710</t>
  </si>
  <si>
    <t>ENSMUSG00000047454</t>
  </si>
  <si>
    <t>ENSMUSG00000029848</t>
  </si>
  <si>
    <t>ENSMUSG00000022367</t>
  </si>
  <si>
    <t>ENSMUSG00000022364</t>
  </si>
  <si>
    <t>ENSMUSG00000015966</t>
  </si>
  <si>
    <t>ENSMUSG00000069045</t>
  </si>
  <si>
    <t>ENSMUSG00000034127</t>
  </si>
  <si>
    <t>ENSMUSG00000015961</t>
  </si>
  <si>
    <t>ENSMUSG00000025509</t>
  </si>
  <si>
    <t>ENSMUSG00000029330</t>
  </si>
  <si>
    <t>ENSMUSG00000022415</t>
  </si>
  <si>
    <t>ENSMUSG00000028139</t>
  </si>
  <si>
    <t>ENSMUSG00000029338</t>
  </si>
  <si>
    <t>ENSMUSG00000057092</t>
  </si>
  <si>
    <t>ENSMUSG00000048677</t>
  </si>
  <si>
    <t>ENSMUSG00000025212</t>
  </si>
  <si>
    <t>ENSMUSG00000042750</t>
  </si>
  <si>
    <t>ENSMUSG00000021054</t>
  </si>
  <si>
    <t>ENSMUSG00000091447</t>
  </si>
  <si>
    <t>ENSMUSG00000059456</t>
  </si>
  <si>
    <t>ENSMUSG00000089901</t>
  </si>
  <si>
    <t>ENSMUSG00000023905</t>
  </si>
  <si>
    <t>ENSMUSG00000028552</t>
  </si>
  <si>
    <t>ENSMUSG00000028551</t>
  </si>
  <si>
    <t>ENSMUSG00000025036</t>
  </si>
  <si>
    <t>ENSMUSG00000025037</t>
  </si>
  <si>
    <t>ENSMUSG00000034903</t>
  </si>
  <si>
    <t>ENSMUSG00000045636</t>
  </si>
  <si>
    <t>ENSMUSG00000031712</t>
  </si>
  <si>
    <t>ENSMUSG00000034341</t>
  </si>
  <si>
    <t>ENSMUSG00000052593</t>
  </si>
  <si>
    <t>ENSMUSG00000028484</t>
  </si>
  <si>
    <t>ENSMUSG00000034839</t>
  </si>
  <si>
    <t>ENSMUSG00000034349</t>
  </si>
  <si>
    <t>ENSMUSG00000042532</t>
  </si>
  <si>
    <t>ENSMUSG00000072949</t>
  </si>
  <si>
    <t>ENSMUSG00000042535</t>
  </si>
  <si>
    <t>ENSMUSG00000023169</t>
  </si>
  <si>
    <t>ENSMUSG00000045248</t>
  </si>
  <si>
    <t>ENSMUSG00000052759</t>
  </si>
  <si>
    <t>ENSMUSG00000007411</t>
  </si>
  <si>
    <t>ENSMUSG00000001555</t>
  </si>
  <si>
    <t>ENSMUSG00000024109</t>
  </si>
  <si>
    <t>ENSMUSG00000064246</t>
  </si>
  <si>
    <t>ENSMUSG00000059991</t>
  </si>
  <si>
    <t>ENSMUSG00000022987</t>
  </si>
  <si>
    <t>ENSMUSG00000052974</t>
  </si>
  <si>
    <t>ENSMUSG00000053977</t>
  </si>
  <si>
    <t>ENSMUSG00000039197</t>
  </si>
  <si>
    <t>ENSMUSG00000039191</t>
  </si>
  <si>
    <t>ENSMUSG00000028792</t>
  </si>
  <si>
    <t>ENSMUSG00000022438</t>
  </si>
  <si>
    <t>ENSMUSG00000002771</t>
  </si>
  <si>
    <t>ENSMUSG00000017697</t>
  </si>
  <si>
    <t>ENSMUSG00000020120</t>
  </si>
  <si>
    <t>ENSMUSG00000020315</t>
  </si>
  <si>
    <t>ENSMUSG00000092572</t>
  </si>
  <si>
    <t>ENSMUSG00000000739</t>
  </si>
  <si>
    <t>ENSMUSG00000020023</t>
  </si>
  <si>
    <t>ENSMUSG00000000730</t>
  </si>
  <si>
    <t>ENSMUSG00000000731</t>
  </si>
  <si>
    <t>ENSMUSG00000000732</t>
  </si>
  <si>
    <t>ENSMUSG00000021932</t>
  </si>
  <si>
    <t>ENSMUSG00000062760</t>
  </si>
  <si>
    <t>ENSMUSG00000021998</t>
  </si>
  <si>
    <t>ENSMUSG00000028799</t>
  </si>
  <si>
    <t>ENSMUSG00000002910</t>
  </si>
  <si>
    <t>ENSMUSG00000030138</t>
  </si>
  <si>
    <t>ENSMUSG00000025498</t>
  </si>
  <si>
    <t>ENSMUSG00000044349</t>
  </si>
  <si>
    <t>ENSMUSG00000001482</t>
  </si>
  <si>
    <t>ENSMUSG00000036646</t>
  </si>
  <si>
    <t>ENSMUSG00000001157</t>
  </si>
  <si>
    <t>ENSMUSG00000001156</t>
  </si>
  <si>
    <t>ENSMUSG00000079547</t>
  </si>
  <si>
    <t>ENSMUSG00000037847</t>
  </si>
  <si>
    <t>ENSMUSG00000019966</t>
  </si>
  <si>
    <t>ENSMUSG00000068606</t>
  </si>
  <si>
    <t>ENSMUSG00000021823</t>
  </si>
  <si>
    <t>ENSMUSG00000027695</t>
  </si>
  <si>
    <t>ENSMUSG00000074886</t>
  </si>
  <si>
    <t>ENSMUSG00000033107</t>
  </si>
  <si>
    <t>ENSMUSG00000058260</t>
  </si>
  <si>
    <t>ENSMUSG00000006299</t>
  </si>
  <si>
    <t>ENSMUSG00000033565</t>
  </si>
  <si>
    <t>ENSMUSG00000078439</t>
  </si>
  <si>
    <t>ENSMUSG00000022960</t>
  </si>
  <si>
    <t>ENSMUSG00000079434</t>
  </si>
  <si>
    <t>ENSMUSG00000041538</t>
  </si>
  <si>
    <t>ENSMUSG00000040265</t>
  </si>
  <si>
    <t>ENSMUSG00000026670</t>
  </si>
  <si>
    <t>ENSMUSG00000044017</t>
  </si>
  <si>
    <t>ENSMUSG00000026672</t>
  </si>
  <si>
    <t>ENSMUSG00000026678</t>
  </si>
  <si>
    <t>ENSMUSG00000055960</t>
  </si>
  <si>
    <t>ENSMUSG00000033039</t>
  </si>
  <si>
    <t>ENSMUSG00000039735</t>
  </si>
  <si>
    <t>ENSMUSG00000055334</t>
  </si>
  <si>
    <t>ENSMUSG00000037119</t>
  </si>
  <si>
    <t>ENSMUSG00000027215</t>
  </si>
  <si>
    <t>ENSMUSG00000037110</t>
  </si>
  <si>
    <t>ENSMUSG00000037111</t>
  </si>
  <si>
    <t>ENSMUSG00000001025</t>
  </si>
  <si>
    <t>ENSMUSG00000023224</t>
  </si>
  <si>
    <t>ENSMUSG00000015749</t>
  </si>
  <si>
    <t>ENSMUSG00000063011</t>
  </si>
  <si>
    <t>ENSMUSG00000050234</t>
  </si>
  <si>
    <t>ENSMUSG00000048277</t>
  </si>
  <si>
    <t>ENSMUSG00000015745</t>
  </si>
  <si>
    <t>ENSMUSG00000038482</t>
  </si>
  <si>
    <t>ENSMUSG00000059486</t>
  </si>
  <si>
    <t>ENSMUSG00000038732</t>
  </si>
  <si>
    <t>ENSMUSG00000059482</t>
  </si>
  <si>
    <t>ENSMUSG00000039607</t>
  </si>
  <si>
    <t>ENSMUSG00000031458</t>
  </si>
  <si>
    <t>ENSMUSG00000031451</t>
  </si>
  <si>
    <t>ENSMUSG00000073016</t>
  </si>
  <si>
    <t>ENSMUSG00000031980</t>
  </si>
  <si>
    <t>ENSMUSG00000030588</t>
  </si>
  <si>
    <t>ENSMUSG00000020806</t>
  </si>
  <si>
    <t>ENSMUSG00000023353</t>
  </si>
  <si>
    <t>ENSMUSG00000050440</t>
  </si>
  <si>
    <t>ENSMUSG00000041440</t>
  </si>
  <si>
    <t>ENSMUSG00000027072</t>
  </si>
  <si>
    <t>ENSMUSG00000027073</t>
  </si>
  <si>
    <t>ENSMUSG00000027074</t>
  </si>
  <si>
    <t>ENSMUSG00000027077</t>
  </si>
  <si>
    <t>ENSMUSG00000026077</t>
  </si>
  <si>
    <t>ENSMUSG00000063172</t>
  </si>
  <si>
    <t>ENSMUSG00000037295</t>
  </si>
  <si>
    <t>ENSMUSG00000030218</t>
  </si>
  <si>
    <t>ENSMUSG00000000861</t>
  </si>
  <si>
    <t>ENSMUSG00000020713</t>
  </si>
  <si>
    <t>ENSMUSG00000029059</t>
  </si>
  <si>
    <t>ENSMUSG00000021265</t>
  </si>
  <si>
    <t>ENSMUSG00000040488</t>
  </si>
  <si>
    <t>ENSMUSG00000036880</t>
  </si>
  <si>
    <t>ENSMUSG00000022178</t>
  </si>
  <si>
    <t>ENSMUSG00000004347</t>
  </si>
  <si>
    <t>ENSMUSG00000040007</t>
  </si>
  <si>
    <t>ENSMUSG00000002058</t>
  </si>
  <si>
    <t>ENSMUSG00000022177</t>
  </si>
  <si>
    <t>ENSMUSG00000031290</t>
  </si>
  <si>
    <t>ENSMUSG00000032740</t>
  </si>
  <si>
    <t>ENSMUSG00000047067</t>
  </si>
  <si>
    <t>ENSMUSG00000038022</t>
  </si>
  <si>
    <t>ENSMUSG00000031271</t>
  </si>
  <si>
    <t>ENSMUSG00000038127</t>
  </si>
  <si>
    <t>ENSMUSG00000031274</t>
  </si>
  <si>
    <t>ENSMUSG00000038128</t>
  </si>
  <si>
    <t>ENSMUSG00000021194</t>
  </si>
  <si>
    <t>ENSMUSG00000021190</t>
  </si>
  <si>
    <t>ENSMUSG00000021193</t>
  </si>
  <si>
    <t>ENSMUSG00000026893</t>
  </si>
  <si>
    <t>ENSMUSG00000003348</t>
  </si>
  <si>
    <t>ENSMUSG00000021198</t>
  </si>
  <si>
    <t>ENSMUSG00000021895</t>
  </si>
  <si>
    <t>ENSMUSG00000043421</t>
  </si>
  <si>
    <t>ENSMUSG00000047115</t>
  </si>
  <si>
    <t>ENSMUSG00000024471</t>
  </si>
  <si>
    <t>ENSMUSG00000028836</t>
  </si>
  <si>
    <t>ENSMUSG00000028830</t>
  </si>
  <si>
    <t>ENSMUSG00000003746</t>
  </si>
  <si>
    <t>ENSMUSG00000034135</t>
  </si>
  <si>
    <t>ENSMUSG00000060063</t>
  </si>
  <si>
    <t>ENSMUSG00000052160</t>
  </si>
  <si>
    <t>ENSMUSG00000021680</t>
  </si>
  <si>
    <t>ENSMUSG00000072829</t>
  </si>
  <si>
    <t>ENSMUSG00000012296</t>
  </si>
  <si>
    <t>ENSMUSG00000047842</t>
  </si>
  <si>
    <t>ENSMUSG00000028636</t>
  </si>
  <si>
    <t>ENSMUSG00000034226</t>
  </si>
  <si>
    <t>ENSMUSG00000034730</t>
  </si>
  <si>
    <t>ENSMUSG00000042745</t>
  </si>
  <si>
    <t>ENSMUSG00000034738</t>
  </si>
  <si>
    <t>ENSMUSG00000066705</t>
  </si>
  <si>
    <t>ENSMUSG00000025020</t>
  </si>
  <si>
    <t>ENSMUSG00000035992</t>
  </si>
  <si>
    <t>ENSMUSG00000034918</t>
  </si>
  <si>
    <t>ENSMUSG00000023914</t>
  </si>
  <si>
    <t>ENSMUSG00000043300</t>
  </si>
  <si>
    <t>ENSMUSG00000034917</t>
  </si>
  <si>
    <t>ENSMUSG00000045625</t>
  </si>
  <si>
    <t>ENSMUSG00000034359</t>
  </si>
  <si>
    <t>ENSMUSG00000028128</t>
  </si>
  <si>
    <t>ENSMUSG00000045629</t>
  </si>
  <si>
    <t>ENSMUSG00000028943</t>
  </si>
  <si>
    <t>ENSMUSG00000035513</t>
  </si>
  <si>
    <t>ENSMUSG00000020484</t>
  </si>
  <si>
    <t>ENSMUSG00000020077</t>
  </si>
  <si>
    <t>ENSMUSG00000020483</t>
  </si>
  <si>
    <t>ENSMUSG00000030782</t>
  </si>
  <si>
    <t>ENSMUSG00000039298</t>
  </si>
  <si>
    <t>ENSMUSG00000021458</t>
  </si>
  <si>
    <t>ENSMUSG00000071856</t>
  </si>
  <si>
    <t>ENSMUSG00000071858</t>
  </si>
  <si>
    <t>ENSMUSG00000028300</t>
  </si>
  <si>
    <t>ENSMUSG00000021457</t>
  </si>
  <si>
    <t>ENSMUSG00000064254</t>
  </si>
  <si>
    <t>ENSMUSG00000045573</t>
  </si>
  <si>
    <t>ENSMUSG00000037188</t>
  </si>
  <si>
    <t>ENSMUSG00000035775</t>
  </si>
  <si>
    <t>ENSMUSG00000035778</t>
  </si>
  <si>
    <t>ENSMUSG00000032175</t>
  </si>
  <si>
    <t>ENSMUSG00000092609</t>
  </si>
  <si>
    <t>ENSMUSG00000022186</t>
  </si>
  <si>
    <t>ENSMUSG00000053897</t>
  </si>
  <si>
    <t>ENSMUSG00000044485</t>
  </si>
  <si>
    <t>ENSMUSG00000023043</t>
  </si>
  <si>
    <t>ENSMUSG00000032194</t>
  </si>
  <si>
    <t>ENSMUSG00000033355</t>
  </si>
  <si>
    <t>ENSMUSG00000052949</t>
  </si>
  <si>
    <t>ENSMUSG00000019951</t>
  </si>
  <si>
    <t>ENSMUSG00000039982</t>
  </si>
  <si>
    <t>ENSMUSG00000001120</t>
  </si>
  <si>
    <t>ENSMUSG00000001986</t>
  </si>
  <si>
    <t>ENSMUSG00000036676</t>
  </si>
  <si>
    <t>ENSMUSG00000041298</t>
  </si>
  <si>
    <t>ENSMUSG00000037580</t>
  </si>
  <si>
    <t>ENSMUSG00000044626</t>
  </si>
  <si>
    <t>ENSMUSG00000044156</t>
  </si>
  <si>
    <t>ENSMUSG00000024798</t>
  </si>
  <si>
    <t>ENSMUSG00000001833</t>
  </si>
  <si>
    <t>ENSMUSG00000058216</t>
  </si>
  <si>
    <t>ENSMUSG00000039873</t>
  </si>
  <si>
    <t>ENSMUSG00000022951</t>
  </si>
  <si>
    <t>ENSMUSG00000022952</t>
  </si>
  <si>
    <t>ENSMUSG00000075122</t>
  </si>
  <si>
    <t>ENSMUSG00000070407</t>
  </si>
  <si>
    <t>gene_id</t>
  </si>
  <si>
    <t>ENSMUSG00000001901</t>
  </si>
  <si>
    <t>ENSMUSG00000024867</t>
  </si>
  <si>
    <t>ENSMUSG00000064065</t>
  </si>
  <si>
    <t>ENSMUSG00000037033</t>
  </si>
  <si>
    <t>ENSMUSG00000000184</t>
  </si>
  <si>
    <t>ENSMUSG00000010047</t>
  </si>
  <si>
    <t>ENSMUSG00000030739</t>
  </si>
  <si>
    <t>ENSMUSG00000055322</t>
  </si>
  <si>
    <t>ENSMUSG00000030737</t>
  </si>
  <si>
    <t>ENSMUSG00000020926</t>
  </si>
  <si>
    <t>ENSMUSG00000027204</t>
  </si>
  <si>
    <t>ENSMUSG00000079017</t>
  </si>
  <si>
    <t>ENSMUSG00000039611</t>
  </si>
  <si>
    <t>ENSMUSG00000037325</t>
  </si>
  <si>
    <t>ENSMUSG00000039616</t>
  </si>
  <si>
    <t>ENSMUSG00000090231</t>
  </si>
  <si>
    <t>ENSMUSG00000026249</t>
  </si>
  <si>
    <t>ENSMUSG00000020811</t>
  </si>
  <si>
    <t>ENSMUSG00000020810</t>
  </si>
  <si>
    <t>ENSMUSG00000027669</t>
  </si>
  <si>
    <t>ENSMUSG00000042306</t>
  </si>
  <si>
    <t>ENSMUSG00000038580</t>
  </si>
  <si>
    <t>ENSMUSG00000040479</t>
  </si>
  <si>
    <t>ENSMUSG00000019775</t>
  </si>
  <si>
    <t>ENSMUSG00000031865</t>
  </si>
  <si>
    <t>ENSMUSG00000040471</t>
  </si>
  <si>
    <t>ENSMUSG00000059149</t>
  </si>
  <si>
    <t>ENSMUSG00000030203</t>
  </si>
  <si>
    <t>ENSMUSG00000030201</t>
  </si>
  <si>
    <t>ENSMUSG00000048078</t>
  </si>
  <si>
    <t>ENSMUSG00000034037</t>
  </si>
  <si>
    <t>ENSMUSG00000031883</t>
  </si>
  <si>
    <t>ENSMUSG00000031880</t>
  </si>
  <si>
    <t>ENSMUSG00000021215</t>
  </si>
  <si>
    <t>ENSMUSG00000022099</t>
  </si>
  <si>
    <t>ENSMUSG00000021213</t>
  </si>
  <si>
    <t>ENSMUSG00000051379</t>
  </si>
  <si>
    <t>ENSMUSG00000006442</t>
  </si>
  <si>
    <t>ENSMUSG00000051375</t>
  </si>
  <si>
    <t>ENSMUSG00000022091</t>
  </si>
  <si>
    <t>ENSMUSG00000006445</t>
  </si>
  <si>
    <t>ENSMUSG00000000983</t>
  </si>
  <si>
    <t>ENSMUSG00000040875</t>
  </si>
  <si>
    <t>ENSMUSG00000060961</t>
  </si>
  <si>
    <t>ENSMUSG00000071669</t>
  </si>
  <si>
    <t>ENSMUSG00000040010</t>
  </si>
  <si>
    <t>ENSMUSG00000014907</t>
  </si>
  <si>
    <t>ENSMUSG00000022769</t>
  </si>
  <si>
    <t>ENSMUSG00000067261</t>
  </si>
  <si>
    <t>ENSMUSG00000038055</t>
  </si>
  <si>
    <t>ENSMUSG00000031245</t>
  </si>
  <si>
    <t>ENSMUSG00000056091</t>
  </si>
  <si>
    <t>ENSMUSG00000066026</t>
  </si>
  <si>
    <t>ENSMUSG00000029205</t>
  </si>
  <si>
    <t>ENSMUSG00000056258</t>
  </si>
  <si>
    <t>ENSMUSG00000040701</t>
  </si>
  <si>
    <t>ENSMUSG00000029047</t>
  </si>
  <si>
    <t>ENSMUSG00000039473</t>
  </si>
  <si>
    <t>ENSMUSG00000034107</t>
  </si>
  <si>
    <t>ENSMUSG00000039477</t>
  </si>
  <si>
    <t>ENSMUSG00000035186</t>
  </si>
  <si>
    <t>ENSMUSG00000072812</t>
  </si>
  <si>
    <t>ENSMUSG00000069089</t>
  </si>
  <si>
    <t>ENSMUSG00000028793</t>
  </si>
  <si>
    <t>ENSMUSG00000029312</t>
  </si>
  <si>
    <t>ENSMUSG00000029311</t>
  </si>
  <si>
    <t>ENSMUSG00000037921</t>
  </si>
  <si>
    <t>ENSMUSG00000022237</t>
  </si>
  <si>
    <t>ENSMUSG00000022540</t>
  </si>
  <si>
    <t>ENSMUSG00000046897</t>
  </si>
  <si>
    <t>ENSMUSG00000036856</t>
  </si>
  <si>
    <t>ENSMUSG00000012350</t>
  </si>
  <si>
    <t>ENSMUSG00000048490</t>
  </si>
  <si>
    <t>ENSMUSG00000012609</t>
  </si>
  <si>
    <t>ENSMUSG00000059956</t>
  </si>
  <si>
    <t>ENSMUSG00000029559</t>
  </si>
  <si>
    <t>ENSMUSG00000053310</t>
  </si>
  <si>
    <t>ENSMUSG00000024399</t>
  </si>
  <si>
    <t>ENSMUSG00000029557</t>
  </si>
  <si>
    <t>ENSMUSG00000029556</t>
  </si>
  <si>
    <t>ENSMUSG00000039067</t>
  </si>
  <si>
    <t>ENSMUSG00000025014</t>
  </si>
  <si>
    <t>ENSMUSG00000028576</t>
  </si>
  <si>
    <t>ENSMUSG00000025467</t>
  </si>
  <si>
    <t>ENSMUSG00000046410</t>
  </si>
  <si>
    <t>ENSMUSG00000028578</t>
  </si>
  <si>
    <t>ENSMUSG00000023968</t>
  </si>
  <si>
    <t>ENSMUSG00000046523</t>
  </si>
  <si>
    <t>ENSMUSG00000034361</t>
  </si>
  <si>
    <t>ENSMUSG00000067736</t>
  </si>
  <si>
    <t>ENSMUSG00000028158</t>
  </si>
  <si>
    <t>ENSMUSG00000074743</t>
  </si>
  <si>
    <t>ENSMUSG00000072964</t>
  </si>
  <si>
    <t>ENSMUSG00000052776</t>
  </si>
  <si>
    <t>ENSMUSG00000042082</t>
  </si>
  <si>
    <t>ENSMUSG00000008318</t>
  </si>
  <si>
    <t>ENSMUSG00000064061</t>
  </si>
  <si>
    <t>ENSMUSG00000074240</t>
  </si>
  <si>
    <t>ENSMUSG00000042064</t>
  </si>
  <si>
    <t>ENSMUSG00000044562</t>
  </si>
  <si>
    <t>ENSMUSG00000064264</t>
  </si>
  <si>
    <t>ENSMUSG00000032348</t>
  </si>
  <si>
    <t>ENSMUSG00000035164</t>
  </si>
  <si>
    <t>ENSMUSG00000032698</t>
  </si>
  <si>
    <t>ENSMUSG00000007872</t>
  </si>
  <si>
    <t>ENSMUSG00000070576</t>
  </si>
  <si>
    <t>ENSMUSG00000032690</t>
  </si>
  <si>
    <t>ENSMUSG00000029298</t>
  </si>
  <si>
    <t>ENSMUSG00000020143</t>
  </si>
  <si>
    <t>ENSMUSG00000020009</t>
  </si>
  <si>
    <t>ENSMUSG00000021537</t>
  </si>
  <si>
    <t>ENSMUSG00000021536</t>
  </si>
  <si>
    <t>ENSMUSG00000037820</t>
  </si>
  <si>
    <t>ENSMUSG00000017652</t>
  </si>
  <si>
    <t>ENSMUSG00000044707</t>
  </si>
  <si>
    <t>ENSMUSG00000018569</t>
  </si>
  <si>
    <t>ENSMUSG00000052957</t>
  </si>
  <si>
    <t>ENSMUSG00000078185</t>
  </si>
  <si>
    <t>ENSMUSG00000039081</t>
  </si>
  <si>
    <t>ENSMUSG00000045545</t>
  </si>
  <si>
    <t>ENSMUSG00000031959</t>
  </si>
  <si>
    <t>ENSMUSG00000036062</t>
  </si>
  <si>
    <t>ENSMUSG00000019944</t>
  </si>
  <si>
    <t>ENSMUSG00000036067</t>
  </si>
  <si>
    <t>ENSMUSG00000010453</t>
  </si>
  <si>
    <t>ENSMUSG00000091387</t>
  </si>
  <si>
    <t>ENSMUSG00000032527</t>
  </si>
  <si>
    <t>ENSMUSG00000036667</t>
  </si>
  <si>
    <t>ENSMUSG00000062638</t>
  </si>
  <si>
    <t>ENSMUSG00000055862</t>
  </si>
  <si>
    <t>ENSMUSG00000018899</t>
  </si>
  <si>
    <t>ENSMUSG00000063727</t>
  </si>
  <si>
    <t>ENSMUSG00000020427</t>
  </si>
  <si>
    <t>ENSMUSG00000058446</t>
  </si>
  <si>
    <t>ENSMUSG00000024781</t>
  </si>
  <si>
    <t>ENSMUSG00000044148</t>
  </si>
  <si>
    <t>ENSMUSG00000053044</t>
  </si>
  <si>
    <t>ENSMUSG00000050994</t>
  </si>
  <si>
    <t>ENSMUSG00000054793</t>
  </si>
  <si>
    <t>ENSMUSG00000017493</t>
  </si>
  <si>
    <t>ENSMUSG00000036206</t>
  </si>
  <si>
    <t>ENSMUSG00000030909</t>
  </si>
  <si>
    <t>ENSMUSG00000024304</t>
  </si>
  <si>
    <t>ENSMUSG00000008136</t>
  </si>
  <si>
    <t>ENSMUSG00000005233</t>
  </si>
  <si>
    <t>ENSMUSG00000024653</t>
  </si>
  <si>
    <t>ENSMUSG00000027475</t>
  </si>
  <si>
    <t>ENSMUSG00000041515</t>
  </si>
  <si>
    <t>ENSMUSG00000037624</t>
  </si>
  <si>
    <t>ENSMUSG00000041046</t>
  </si>
  <si>
    <t>ENSMUSG00000027784</t>
  </si>
  <si>
    <t>ENSMUSG00000026657</t>
  </si>
  <si>
    <t>ENSMUSG00000032115</t>
  </si>
  <si>
    <t>ENSMUSG00000058022</t>
  </si>
  <si>
    <t>ENSMUSG00000001911</t>
  </si>
  <si>
    <t>ENSMUSG00000002985</t>
  </si>
  <si>
    <t>ENSMUSG00000021929</t>
  </si>
  <si>
    <t>ENSMUSG00000021820</t>
  </si>
  <si>
    <t>ENSMUSG00000027276</t>
  </si>
  <si>
    <t>ENSMUSG00000027646</t>
  </si>
  <si>
    <t>ENSMUSG00000041607</t>
  </si>
  <si>
    <t>ENSMUSG00000020953</t>
  </si>
  <si>
    <t>ENSMUSG00000041608</t>
  </si>
  <si>
    <t>ENSMUSG00000067001</t>
  </si>
  <si>
    <t>ENSMUSG00000037482</t>
  </si>
  <si>
    <t>ENSMUSG00000058153</t>
  </si>
  <si>
    <t>ENSMUSG00000063157</t>
  </si>
  <si>
    <t>ENSMUSG00000030472</t>
  </si>
  <si>
    <t>ENSMUSG00000000085</t>
  </si>
  <si>
    <t>ENSMUSG00000027932</t>
  </si>
  <si>
    <t>ENSMUSG00000041261</t>
  </si>
  <si>
    <t>ENSMUSG00000030522</t>
  </si>
  <si>
    <t>ENSMUSG00000030055</t>
  </si>
  <si>
    <t>ENSMUSG00000040649</t>
  </si>
  <si>
    <t>ENSMUSG00000000409</t>
  </si>
  <si>
    <t>ENSMUSG00000026782</t>
  </si>
  <si>
    <t>ENSMUSG00000030870</t>
  </si>
  <si>
    <t>ENSMUSG00000030872</t>
  </si>
  <si>
    <t>ENSMUSG00000019769</t>
  </si>
  <si>
    <t>ENSMUSG00000049281</t>
  </si>
  <si>
    <t>ENSMUSG00000031877</t>
  </si>
  <si>
    <t>ENSMUSG00000060600</t>
  </si>
  <si>
    <t>ENSMUSG00000079355</t>
  </si>
  <si>
    <t>ENSMUSG00000019761</t>
  </si>
  <si>
    <t>ENSMUSG00000028088</t>
  </si>
  <si>
    <t>ENSMUSG00000049288</t>
  </si>
  <si>
    <t>ENSMUSG00000030276</t>
  </si>
  <si>
    <t>ENSMUSG00000030275</t>
  </si>
  <si>
    <t>ENSMUSG00000034021</t>
  </si>
  <si>
    <t>ENSMUSG00000006457</t>
  </si>
  <si>
    <t>ENSMUSG00000005763</t>
  </si>
  <si>
    <t>ENSMUSG00000064115</t>
  </si>
  <si>
    <t>ENSMUSG00000004366</t>
  </si>
  <si>
    <t>ENSMUSG00000040808</t>
  </si>
  <si>
    <t>ENSMUSG00000056888</t>
  </si>
  <si>
    <t>ENSMUSG00000026433</t>
  </si>
  <si>
    <t>ENSMUSG00000026430</t>
  </si>
  <si>
    <t>ENSMUSG00000056423</t>
  </si>
  <si>
    <t>ENSMUSG00000038046</t>
  </si>
  <si>
    <t>ENSMUSG00000015243</t>
  </si>
  <si>
    <t>ENSMUSG00000031250</t>
  </si>
  <si>
    <t>ENSMUSG00000025764</t>
  </si>
  <si>
    <t>ENSMUSG00000032502</t>
  </si>
  <si>
    <t>ENSMUSG00000063935</t>
  </si>
  <si>
    <t>ENSMUSG00000063931</t>
  </si>
  <si>
    <t>ENSMUSG00000031657</t>
  </si>
  <si>
    <t>ENSMUSG00000029032</t>
  </si>
  <si>
    <t>ENSMUSG00000047428</t>
  </si>
  <si>
    <t>ENSMUSG00000040732</t>
  </si>
  <si>
    <t>ENSMUSG00000026321</t>
  </si>
  <si>
    <t>ENSMUSG00000030806</t>
  </si>
  <si>
    <t>ENSMUSG00000067787</t>
  </si>
  <si>
    <t>ENSMUSG00000029811</t>
  </si>
  <si>
    <t>ENSMUSG00000047139</t>
  </si>
  <si>
    <t>ENSMUSG00000025790</t>
  </si>
  <si>
    <t>ENSMUSG00000025795</t>
  </si>
  <si>
    <t>ENSMUSG00000003032</t>
  </si>
  <si>
    <t>ENSMUSG00000057751</t>
  </si>
  <si>
    <t>ENSMUSG00000029366</t>
  </si>
  <si>
    <t>ENSMUSG00000075592</t>
  </si>
  <si>
    <t>ENSMUSG00000020793</t>
  </si>
  <si>
    <t>ENSMUSG00000022440</t>
  </si>
  <si>
    <t>ENSMUSG00000034684</t>
  </si>
  <si>
    <t>ENSMUSG00000022205</t>
  </si>
  <si>
    <t>ENSMUSG00000015396</t>
  </si>
  <si>
    <t>ENSMUSG00000034593</t>
  </si>
  <si>
    <t>ENSMUSG00000032489</t>
  </si>
  <si>
    <t>ENSMUSG00000029781</t>
  </si>
  <si>
    <t>ENSMUSG00000034751</t>
  </si>
  <si>
    <t>ENSMUSG00000025225</t>
  </si>
  <si>
    <t>ENSMUSG00000043384</t>
  </si>
  <si>
    <t>ENSMUSG00000074622</t>
  </si>
  <si>
    <t>ENSMUSG00000050812</t>
  </si>
  <si>
    <t>ENSMUSG00000029761</t>
  </si>
  <si>
    <t>ENSMUSG00000040435</t>
  </si>
  <si>
    <t>ENSMUSG00000009418</t>
  </si>
  <si>
    <t>ENSMUSG00000029769</t>
  </si>
  <si>
    <t>ENSMUSG00000029560</t>
  </si>
  <si>
    <t>ENSMUSG00000023973</t>
  </si>
  <si>
    <t>ENSMUSG00000046556</t>
  </si>
  <si>
    <t>ENSMUSG00000035594</t>
  </si>
  <si>
    <t>ENSMUSG00000067341</t>
  </si>
  <si>
    <t>ENSMUSG00000062991</t>
  </si>
  <si>
    <t>ENSMUSG00000028965</t>
  </si>
  <si>
    <t>ENSMUSG00000042099</t>
  </si>
  <si>
    <t>ENSMUSG00000039270</t>
  </si>
  <si>
    <t>ENSMUSG00000091166</t>
  </si>
  <si>
    <t>ENSMUSG00000020173</t>
  </si>
  <si>
    <t>ENSMUSG00000028555</t>
  </si>
  <si>
    <t>ENSMUSG00000016664</t>
  </si>
  <si>
    <t>ENSMUSG00000017830</t>
  </si>
  <si>
    <t>ENSMUSG00000042473</t>
  </si>
  <si>
    <t>ENSMUSG00000032352</t>
  </si>
  <si>
    <t>ENSMUSG00000070056</t>
  </si>
  <si>
    <t>ENSMUSG00000020775</t>
  </si>
  <si>
    <t>ENSMUSG00000032359</t>
  </si>
  <si>
    <t>ENSMUSG00000042388</t>
  </si>
  <si>
    <t>ENSMUSG00000002741</t>
  </si>
  <si>
    <t>ENSMUSG00000024064</t>
  </si>
  <si>
    <t>ENSMUSG00000074342</t>
  </si>
  <si>
    <t>ENSMUSG00000028217</t>
  </si>
  <si>
    <t>ENSMUSG00000025964</t>
  </si>
  <si>
    <t>ENSMUSG00000074457</t>
  </si>
  <si>
    <t>ENSMUSG00000068747</t>
  </si>
  <si>
    <t>ENSMUSG00000037621</t>
  </si>
  <si>
    <t>ENSMUSG00000068749</t>
  </si>
  <si>
    <t>ENSMUSG00000024659</t>
  </si>
  <si>
    <t>ENSMUSG00000019970</t>
  </si>
  <si>
    <t>ENSMUSG00000067818</t>
  </si>
  <si>
    <t>ENSMUSG00000036053</t>
  </si>
  <si>
    <t>ENSMUSG00000021832</t>
  </si>
  <si>
    <t>ENSMUSG00000032531</t>
  </si>
  <si>
    <t>ENSMUSG00000021831</t>
  </si>
  <si>
    <t>ENSMUSG00000001100</t>
  </si>
  <si>
    <t>ENSMUSG00000020300</t>
  </si>
  <si>
    <t>ENSMUSG00000064105</t>
  </si>
  <si>
    <t>ENSMUSG00000029335</t>
  </si>
  <si>
    <t>ENSMUSG00000062604</t>
  </si>
  <si>
    <t>ENSMUSG00000068329</t>
  </si>
  <si>
    <t>ENSMUSG00000026715</t>
  </si>
  <si>
    <t>ENSMUSG00000048826</t>
  </si>
  <si>
    <t>ENSMUSG00000021495</t>
  </si>
  <si>
    <t>ENSMUSG00000030911</t>
  </si>
  <si>
    <t>ENSMUSG00000027797</t>
  </si>
  <si>
    <t>ENSMUSG00000038459</t>
  </si>
  <si>
    <t>ENSMUSG00000062515</t>
  </si>
  <si>
    <t>ENSMUSG00000020739</t>
  </si>
  <si>
    <t>ENSMUSG00000030685</t>
  </si>
  <si>
    <t>ENSMUSG00000058013</t>
  </si>
  <si>
    <t>ENSMUSG00000030683</t>
  </si>
  <si>
    <t>ENSMUSG00000033068</t>
  </si>
  <si>
    <t>ENSMUSG00000033066</t>
  </si>
  <si>
    <t>ENSMUSG00000051435</t>
  </si>
  <si>
    <t>ENSMUSG00000036545</t>
  </si>
  <si>
    <t>ENSMUSG00000033061</t>
  </si>
  <si>
    <t>ENSMUSG00000000278</t>
  </si>
  <si>
    <t>ENSMUSG00000054256</t>
  </si>
  <si>
    <t>ENSMUSG00000079003</t>
  </si>
  <si>
    <t>ENSMUSG00000020733</t>
  </si>
  <si>
    <t>ENSMUSG00000092009</t>
  </si>
  <si>
    <t>ENSMUSG00000037126</t>
  </si>
  <si>
    <t>ENSMUSG00000054277</t>
  </si>
  <si>
    <t>ENSMUSG00000091758</t>
  </si>
  <si>
    <t>ENSMUSG00000023092</t>
  </si>
  <si>
    <t>ENSMUSG00000054871</t>
  </si>
  <si>
    <t>ENSMUSG00000020469</t>
  </si>
  <si>
    <t>ENSMUSG00000030465</t>
  </si>
  <si>
    <t>ENSMUSG00000040723</t>
  </si>
  <si>
    <t>ENSMUSG00000037541</t>
  </si>
  <si>
    <t>ENSMUSG00000037016</t>
  </si>
  <si>
    <t>ENSMUSG00000027868</t>
  </si>
  <si>
    <t>ENSMUSG00000037548</t>
  </si>
  <si>
    <t>ENSMUSG00000027864</t>
  </si>
  <si>
    <t>ENSMUSG00000027314</t>
  </si>
  <si>
    <t>ENSMUSG00000050373</t>
  </si>
  <si>
    <t>ENSMUSG00000030861</t>
  </si>
  <si>
    <t>ENSMUSG00000040658</t>
  </si>
  <si>
    <t>ENSMUSG00000030263</t>
  </si>
  <si>
    <t>ENSMUSG00000021238</t>
  </si>
  <si>
    <t>ENSMUSG00000041923</t>
  </si>
  <si>
    <t>ENSMUSG00000004791</t>
  </si>
  <si>
    <t>ENSMUSG00000090150</t>
  </si>
  <si>
    <t>ENSMUSG00000073421</t>
  </si>
  <si>
    <t>ENSMUSG00000091971</t>
  </si>
  <si>
    <t>ENSMUSG00000026687</t>
  </si>
  <si>
    <t>ENSMUSG00000000305</t>
  </si>
  <si>
    <t>ENSMUSG00000004319</t>
  </si>
  <si>
    <t>ENSMUSG00000000308</t>
  </si>
  <si>
    <t>ENSMUSG00000049382</t>
  </si>
  <si>
    <t>ENSMUSG00000005779</t>
  </si>
  <si>
    <t>ENSMUSG00000026135</t>
  </si>
  <si>
    <t>ENSMUSG00000040033</t>
  </si>
  <si>
    <t>ENSMUSG00000031791</t>
  </si>
  <si>
    <t>ENSMUSG00000022148</t>
  </si>
  <si>
    <t>ENSMUSG00000020380</t>
  </si>
  <si>
    <t>ENSMUSG00000034161</t>
  </si>
  <si>
    <t>ENSMUSG00000038112</t>
  </si>
  <si>
    <t>ENSMUSG00000034168</t>
  </si>
  <si>
    <t>ENSMUSG00000051226</t>
  </si>
  <si>
    <t>ENSMUSG00000029153</t>
  </si>
  <si>
    <t>ENSMUSG00000040729</t>
  </si>
  <si>
    <t>ENSMUSG00000047388</t>
  </si>
  <si>
    <t>ENSMUSG00000003206</t>
  </si>
  <si>
    <t>ENSMUSG00000022323</t>
  </si>
  <si>
    <t>ENSMUSG00000047415</t>
  </si>
  <si>
    <t>ENSMUSG00000048701</t>
  </si>
  <si>
    <t>ENSMUSG00000022329</t>
  </si>
  <si>
    <t>ENSMUSG00000031137</t>
  </si>
  <si>
    <t>ENSMUSG00000038205</t>
  </si>
  <si>
    <t>ENSMUSG00000020541</t>
  </si>
  <si>
    <t>ENSMUSG00000032369</t>
  </si>
  <si>
    <t>ENSMUSG00000047898</t>
  </si>
  <si>
    <t>ENSMUSG00000020788</t>
  </si>
  <si>
    <t>ENSMUSG00000022454</t>
  </si>
  <si>
    <t>ENSMUSG00000047897</t>
  </si>
  <si>
    <t>ENSMUSG00000028776</t>
  </si>
  <si>
    <t>ENSMUSG00000029370</t>
  </si>
  <si>
    <t>ENSMUSG00000089876</t>
  </si>
  <si>
    <t>ENSMUSG00000020780</t>
  </si>
  <si>
    <t>ENSMUSG00000025491</t>
  </si>
  <si>
    <t>ENSMUSG00000063903</t>
  </si>
  <si>
    <t>ENSMUSG00000063904</t>
  </si>
  <si>
    <t>ENSMUSG00000025495</t>
  </si>
  <si>
    <t>ENSMUSG00000029798</t>
  </si>
  <si>
    <t>ENSMUSG00000029797</t>
  </si>
  <si>
    <t>ENSMUSG00000034560</t>
  </si>
  <si>
    <t>ENSMUSG00000022371</t>
  </si>
  <si>
    <t>ENSMUSG00000024371</t>
  </si>
  <si>
    <t>ENSMUSG00000039304</t>
  </si>
  <si>
    <t>ENSMUSG00000039309</t>
  </si>
  <si>
    <t>ENSMUSG00000034761</t>
  </si>
  <si>
    <t>ENSMUSG00000069171</t>
  </si>
  <si>
    <t>ENSMUSG00000029772</t>
  </si>
  <si>
    <t>ENSMUSG00000026866</t>
  </si>
  <si>
    <t>ENSMUSG00000023949</t>
  </si>
  <si>
    <t>ENSMUSG00000034786</t>
  </si>
  <si>
    <t>ENSMUSG00000020377</t>
  </si>
  <si>
    <t>ENSMUSG00000034785</t>
  </si>
  <si>
    <t>ENSMUSG00000016386</t>
  </si>
  <si>
    <t>ENSMUSG00000023947</t>
  </si>
  <si>
    <t>ENSMUSG00000028179</t>
  </si>
  <si>
    <t>ENSMUSG00000043243</t>
  </si>
  <si>
    <t>ENSMUSG00000046546</t>
  </si>
  <si>
    <t>ENSMUSG00000052085</t>
  </si>
  <si>
    <t>ENSMUSG00000069516</t>
  </si>
  <si>
    <t>ENSMUSG00000020640</t>
  </si>
  <si>
    <t>ENSMUSG00000042662</t>
  </si>
  <si>
    <t>ENSMUSG00000052477</t>
  </si>
  <si>
    <t>ENSMUSG00000038843</t>
  </si>
  <si>
    <t>ENSMUSG00000009246</t>
  </si>
  <si>
    <t>ENSMUSG00000047250</t>
  </si>
  <si>
    <t>ENSMUSG00000028195</t>
  </si>
  <si>
    <t>ENSMUSG00000032232</t>
  </si>
  <si>
    <t>ENSMUSG00000035896</t>
  </si>
  <si>
    <t>ENSMUSG00000004885</t>
  </si>
  <si>
    <t>ENSMUSG00000016496</t>
  </si>
  <si>
    <t>ENSMUSG00000004880</t>
  </si>
  <si>
    <t>ENSMUSG00000016495</t>
  </si>
  <si>
    <t>ENSMUSG00000016498</t>
  </si>
  <si>
    <t>ENSMUSG00000013539</t>
  </si>
  <si>
    <t>ENSMUSG00000032327</t>
  </si>
  <si>
    <t>ENSMUSG00000037949</t>
  </si>
  <si>
    <t>ENSMUSG00000052331</t>
  </si>
  <si>
    <t>ENSMUSG00000020766</t>
  </si>
  <si>
    <t>ENSMUSG00000037944</t>
  </si>
  <si>
    <t>ENSMUSG00000020124</t>
  </si>
  <si>
    <t>ENSMUSG00000037942</t>
  </si>
  <si>
    <t>ENSMUSG00000028223</t>
  </si>
  <si>
    <t>ENSMUSG00000060586</t>
  </si>
  <si>
    <t>ENSMUSG00000017639</t>
  </si>
  <si>
    <t>ENSMUSG00000002799</t>
  </si>
  <si>
    <t>ENSMUSG00000018169</t>
  </si>
  <si>
    <t>ENSMUSG00000032786</t>
  </si>
  <si>
    <t>ENSMUSG00000053931</t>
  </si>
  <si>
    <t>ENSMUSG00000061353</t>
  </si>
  <si>
    <t>ENSMUSG00000002489</t>
  </si>
  <si>
    <t>ENSMUSG00000032030</t>
  </si>
  <si>
    <t>ENSMUSG00000044548</t>
  </si>
  <si>
    <t>ENSMUSG00000032788</t>
  </si>
  <si>
    <t>ENSMUSG00000017707</t>
  </si>
  <si>
    <t>ENSMUSG00000032035</t>
  </si>
  <si>
    <t>ENSMUSG00000053110</t>
  </si>
  <si>
    <t>ENSMUSG00000019960</t>
  </si>
  <si>
    <t>ENSMUSG00000004951</t>
  </si>
  <si>
    <t>ENSMUSG00000001119</t>
  </si>
  <si>
    <t>ENSMUSG00000021822</t>
  </si>
  <si>
    <t>ENSMUSG00000002319</t>
  </si>
  <si>
    <t>ENSMUSG00000001444</t>
  </si>
  <si>
    <t>ENSMUSG00000074199</t>
  </si>
  <si>
    <t>ENSMUSG00000030056</t>
  </si>
  <si>
    <t>ENSMUSG00000018217</t>
  </si>
  <si>
    <t>ENSMUSG00000062619</t>
  </si>
  <si>
    <t>ENSMUSG00000030199</t>
  </si>
  <si>
    <t>ENSMUSG00000021483</t>
  </si>
  <si>
    <t>ENSMUSG00000021953</t>
  </si>
  <si>
    <t>ENSMUSG00000032253</t>
  </si>
  <si>
    <t>ENSMUSG00000021957</t>
  </si>
  <si>
    <t>ENSMUSG00000036225</t>
  </si>
  <si>
    <t>ENSMUSG00000054005</t>
  </si>
  <si>
    <t>ENSMUSG00000043659</t>
  </si>
  <si>
    <t>ENSMUSG00000050017</t>
  </si>
  <si>
    <t>ENSMUSG00000058793</t>
  </si>
  <si>
    <t>ENSMUSG00000015709</t>
  </si>
  <si>
    <t>ENSMUSG00000019102</t>
  </si>
  <si>
    <t>ENSMUSG00000024697</t>
  </si>
  <si>
    <t>ENSMUSG00000058400</t>
  </si>
  <si>
    <t>ENSMUSG00000000248</t>
  </si>
  <si>
    <t>ENSMUSG00000079018</t>
  </si>
  <si>
    <t>ENSMUSG00000000794</t>
  </si>
  <si>
    <t>ENSMUSG00000005360</t>
  </si>
  <si>
    <t>ENSMUSG00000024210</t>
  </si>
  <si>
    <t>ENSMUSG00000033491</t>
  </si>
  <si>
    <t>ENSMUSG00000000791</t>
  </si>
  <si>
    <t>ENSMUSG00000091747</t>
  </si>
  <si>
    <t>ENSMUSG00000027528</t>
  </si>
  <si>
    <t>ENSMUSG00000022883</t>
  </si>
  <si>
    <t>ENSMUSG00000027257</t>
  </si>
  <si>
    <t>ENSMUSG00000033470</t>
  </si>
  <si>
    <t>ENSMUSG00000058173</t>
  </si>
  <si>
    <t>ENSMUSG00000020027</t>
  </si>
  <si>
    <t>ENSMUSG00000023088</t>
  </si>
  <si>
    <t>ENSMUSG00000054863</t>
  </si>
  <si>
    <t>ENSMUSG00000037379</t>
  </si>
  <si>
    <t>ENSMUSG00000030417</t>
  </si>
  <si>
    <t>ENSMUSG00000030413</t>
  </si>
  <si>
    <t>ENSMUSG00000024501</t>
  </si>
  <si>
    <t>ENSMUSG00000024503</t>
  </si>
  <si>
    <t>ENSMUSG00000027634</t>
  </si>
  <si>
    <t>ENSMUSG00000027630</t>
  </si>
  <si>
    <t>ENSMUSG00000005148</t>
  </si>
  <si>
    <t>ENSMUSG00000047712</t>
  </si>
  <si>
    <t>ENSMUSG00000053158</t>
  </si>
  <si>
    <t>ENSMUSG00000011382</t>
  </si>
  <si>
    <t>ENSMUSG00000031309</t>
  </si>
  <si>
    <t>ENSMUSG00000041935</t>
  </si>
  <si>
    <t>ENSMUSG00000030259</t>
  </si>
  <si>
    <t>ENSMUSG00000031303</t>
  </si>
  <si>
    <t>ENSMUSG00000021224</t>
  </si>
  <si>
    <t>ENSMUSG00000031304</t>
  </si>
  <si>
    <t>ENSMUSG00000090766</t>
  </si>
  <si>
    <t>ENSMUSG00000040829</t>
  </si>
  <si>
    <t>ENSMUSG00000040533</t>
  </si>
  <si>
    <t>ENSMUSG00000040289</t>
  </si>
  <si>
    <t>ENSMUSG00000026126</t>
  </si>
  <si>
    <t>ENSMUSG00000031785</t>
  </si>
  <si>
    <t>ENSMUSG00000038663</t>
  </si>
  <si>
    <t>ENSMUSG00000038665</t>
  </si>
  <si>
    <t>ENSMUSG00000060935</t>
  </si>
  <si>
    <t>ENSMUSG00000038668</t>
  </si>
  <si>
    <t>ENSMUSG00000060548</t>
  </si>
  <si>
    <t>ENSMUSG00000061751</t>
  </si>
  <si>
    <t>ENSMUSG00000060260</t>
  </si>
  <si>
    <t>ENSMUSG00000071470</t>
  </si>
  <si>
    <t>ENSMUSG00000070858</t>
  </si>
  <si>
    <t>ENSMUSG00000021314</t>
  </si>
  <si>
    <t>ENSMUSG00000029344</t>
  </si>
  <si>
    <t>ENSMUSG00000051343</t>
  </si>
  <si>
    <t>ENSMUSG00000003235</t>
  </si>
  <si>
    <t>ENSMUSG00000022040</t>
  </si>
  <si>
    <t>ENSMUSG00000042918</t>
  </si>
  <si>
    <t>ENSMUSG00000024036</t>
  </si>
  <si>
    <t>ENSMUSG00000042770</t>
  </si>
  <si>
    <t>ENSMUSG00000051041</t>
  </si>
  <si>
    <t>ENSMUSG00000038276</t>
  </si>
  <si>
    <t>ENSMUSG00000027513</t>
  </si>
  <si>
    <t>ENSMUSG00000031129</t>
  </si>
  <si>
    <t>ENSMUSG00000020577</t>
  </si>
  <si>
    <t>ENSMUSG00000021009</t>
  </si>
  <si>
    <t>ENSMUSG00000020573</t>
  </si>
  <si>
    <t>ENSMUSG00000022665</t>
  </si>
  <si>
    <t>ENSMUSG00000028760</t>
  </si>
  <si>
    <t>ENSMUSG00000034579</t>
  </si>
  <si>
    <t>ENSMUSG00000043099</t>
  </si>
  <si>
    <t>ENSMUSG00000034573</t>
  </si>
  <si>
    <t>ENSMUSG00000022265</t>
  </si>
  <si>
    <t>ENSMUSG00000034574</t>
  </si>
  <si>
    <t>ENSMUSG00000025246</t>
  </si>
  <si>
    <t>ENSMUSG00000006494</t>
  </si>
  <si>
    <t>ENSMUSG00000039252</t>
  </si>
  <si>
    <t>ENSMUSG00000028699</t>
  </si>
  <si>
    <t>ENSMUSG00000025068</t>
  </si>
  <si>
    <t>ENSMUSG00000023959</t>
  </si>
  <si>
    <t>ENSMUSG00000025064</t>
  </si>
  <si>
    <t>ENSMUSG00000029580</t>
  </si>
  <si>
    <t>ENSMUSG00000029581</t>
  </si>
  <si>
    <t>ENSMUSG00000022464</t>
  </si>
  <si>
    <t>ENSMUSG00000019489</t>
  </si>
  <si>
    <t>ENSMUSG00000034317</t>
  </si>
  <si>
    <t>ENSMUSG00000034311</t>
  </si>
  <si>
    <t>ENSMUSG00000034312</t>
  </si>
  <si>
    <t>ENSMUSG00000069520</t>
  </si>
  <si>
    <t>ENSMUSG00000021178</t>
  </si>
  <si>
    <t>ENSMUSG00000042675</t>
  </si>
  <si>
    <t>ENSMUSG00000038871</t>
  </si>
  <si>
    <t>ENSMUSG00000038301</t>
  </si>
  <si>
    <t>ENSMUSG00000021177</t>
  </si>
  <si>
    <t>Genes characteristic of cTEC</t>
  </si>
  <si>
    <t>Genes characteristic of immature mTEC</t>
  </si>
  <si>
    <t>cTEC FPKM (log2)</t>
  </si>
  <si>
    <t>immature mTEC FPKM (log2)</t>
  </si>
  <si>
    <t>AIRE negative mature mTEC FPKM (log2)</t>
  </si>
  <si>
    <t>Worksheet</t>
  </si>
  <si>
    <t>Contents</t>
  </si>
  <si>
    <t>Supplementary Table 5. Genes whose expression is characteristic of three fundamental TEC types (cTEC, immature mTEC and mature mTEC).</t>
  </si>
  <si>
    <t>Genes characteristic of Aire negative mature mTEC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</si>
</sst>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DBE70"/>
      </patternFill>
    </fill>
    <fill>
      <patternFill patternType="solid">
        <fgColor rgb="FF6BA2CB"/>
      </patternFill>
    </fill>
    <fill>
      <patternFill patternType="solid">
        <fgColor rgb="FFF0F9D8"/>
      </patternFill>
    </fill>
    <fill>
      <patternFill patternType="solid">
        <fgColor rgb="FFFA9C58"/>
      </patternFill>
    </fill>
    <fill>
      <patternFill patternType="solid">
        <fgColor rgb="FF4A7BB7"/>
      </patternFill>
    </fill>
    <fill>
      <patternFill patternType="solid">
        <fgColor rgb="FFF67B49"/>
      </patternFill>
    </fill>
    <fill>
      <patternFill patternType="solid">
        <fgColor rgb="FFEDF8DE"/>
      </patternFill>
    </fill>
    <fill>
      <patternFill patternType="solid">
        <fgColor rgb="FFDA362A"/>
      </patternFill>
    </fill>
    <fill>
      <patternFill patternType="solid">
        <fgColor rgb="FFFEEDA4"/>
      </patternFill>
    </fill>
    <fill>
      <patternFill patternType="solid">
        <fgColor rgb="FF436FB1"/>
      </patternFill>
    </fill>
    <fill>
      <patternFill patternType="solid">
        <fgColor rgb="FF313695"/>
      </patternFill>
    </fill>
    <fill>
      <patternFill patternType="solid">
        <fgColor rgb="FFFEF0A9"/>
      </patternFill>
    </fill>
    <fill>
      <patternFill patternType="solid">
        <fgColor rgb="FFEE613D"/>
      </patternFill>
    </fill>
    <fill>
      <patternFill patternType="solid">
        <fgColor rgb="FFFDCD7E"/>
      </patternFill>
    </fill>
    <fill>
      <patternFill patternType="solid">
        <fgColor rgb="FF80B6D6"/>
      </patternFill>
    </fill>
    <fill>
      <patternFill patternType="solid">
        <fgColor rgb="FFBCE1EE"/>
      </patternFill>
    </fill>
    <fill>
      <patternFill patternType="solid">
        <fgColor rgb="FFA50026"/>
      </patternFill>
    </fill>
    <fill>
      <patternFill patternType="solid">
        <fgColor rgb="FFCCE9F2"/>
      </patternFill>
    </fill>
    <fill>
      <patternFill patternType="solid">
        <fgColor rgb="FFD22B26"/>
      </patternFill>
    </fill>
    <fill>
      <patternFill patternType="solid">
        <fgColor rgb="FF9CCDE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NumberFormat="1" applyFont="1"/>
    <xf numFmtId="0" fontId="0" fillId="2" borderId="0" xfId="0" applyNumberFormat="1" applyFill="1"/>
    <xf numFmtId="0" fontId="0" fillId="3" borderId="0" xfId="0" applyNumberFormat="1" applyFill="1"/>
    <xf numFmtId="0" fontId="0" fillId="4" borderId="0" xfId="0" applyNumberFormat="1" applyFill="1"/>
    <xf numFmtId="0" fontId="0" fillId="5" borderId="0" xfId="0" applyNumberFormat="1" applyFill="1"/>
    <xf numFmtId="0" fontId="0" fillId="6" borderId="0" xfId="0" applyNumberFormat="1" applyFill="1"/>
    <xf numFmtId="0" fontId="0" fillId="7" borderId="0" xfId="0" applyNumberFormat="1" applyFill="1"/>
    <xf numFmtId="0" fontId="0" fillId="8" borderId="0" xfId="0" applyNumberFormat="1" applyFill="1"/>
    <xf numFmtId="0" fontId="0" fillId="9" borderId="0" xfId="0" applyNumberFormat="1" applyFill="1"/>
    <xf numFmtId="0" fontId="0" fillId="10" borderId="0" xfId="0" applyNumberFormat="1" applyFill="1"/>
    <xf numFmtId="0" fontId="0" fillId="11" borderId="0" xfId="0" applyNumberFormat="1" applyFill="1"/>
    <xf numFmtId="0" fontId="0" fillId="12" borderId="0" xfId="0" applyNumberFormat="1" applyFill="1"/>
    <xf numFmtId="0" fontId="0" fillId="13" borderId="0" xfId="0" applyNumberFormat="1" applyFill="1"/>
    <xf numFmtId="0" fontId="0" fillId="14" borderId="0" xfId="0" applyNumberFormat="1" applyFill="1"/>
    <xf numFmtId="0" fontId="0" fillId="15" borderId="0" xfId="0" applyNumberFormat="1" applyFill="1"/>
    <xf numFmtId="0" fontId="0" fillId="16" borderId="0" xfId="0" applyNumberFormat="1" applyFill="1"/>
    <xf numFmtId="0" fontId="2" fillId="0" borderId="0" xfId="0" applyNumberFormat="1" applyFont="1"/>
    <xf numFmtId="0" fontId="0" fillId="17" borderId="0" xfId="0" applyNumberFormat="1" applyFill="1"/>
    <xf numFmtId="0" fontId="0" fillId="18" borderId="0" xfId="0" applyNumberFormat="1" applyFill="1"/>
    <xf numFmtId="0" fontId="0" fillId="19" borderId="0" xfId="0" applyNumberFormat="1" applyFill="1"/>
    <xf numFmtId="0" fontId="0" fillId="20" borderId="0" xfId="0" applyNumberFormat="1" applyFill="1"/>
    <xf numFmtId="0" fontId="0" fillId="21" borderId="0" xfId="0" applyNumberFormat="1" applyFill="1"/>
    <xf numFmtId="0" fontId="4" fillId="0" borderId="0" xfId="0" applyFont="1"/>
    <xf numFmtId="0" fontId="3" fillId="0" borderId="0" xfId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sqref="A1:I1"/>
    </sheetView>
  </sheetViews>
  <sheetFormatPr defaultRowHeight="15" x14ac:dyDescent="0.25"/>
  <cols>
    <col min="1" max="1" width="29.85546875" customWidth="1"/>
    <col min="2" max="2" width="10.5703125" customWidth="1"/>
    <col min="9" max="9" width="33.42578125" customWidth="1"/>
  </cols>
  <sheetData>
    <row r="1" spans="1:9" x14ac:dyDescent="0.25">
      <c r="A1" s="26" t="s">
        <v>2078</v>
      </c>
      <c r="B1" s="27"/>
      <c r="C1" s="27"/>
      <c r="D1" s="27"/>
      <c r="E1" s="27"/>
      <c r="F1" s="27"/>
      <c r="G1" s="27"/>
      <c r="H1" s="27"/>
      <c r="I1" s="27"/>
    </row>
    <row r="3" spans="1:9" x14ac:dyDescent="0.25">
      <c r="A3" s="25" t="s">
        <v>2076</v>
      </c>
      <c r="B3" s="23" t="s">
        <v>2077</v>
      </c>
    </row>
    <row r="4" spans="1:9" x14ac:dyDescent="0.25">
      <c r="A4" s="24" t="str">
        <f ca="1">HYPERLINK("[" &amp; SUBSTITUTE(LEFT(CELL("filename"),FIND("]",CELL("filename"))),"[","") &amp; "cTEC!A1",  "cTEC")</f>
        <v>cTEC</v>
      </c>
      <c r="B4" t="s">
        <v>2071</v>
      </c>
    </row>
    <row r="5" spans="1:9" x14ac:dyDescent="0.25">
      <c r="A5" s="24" t="str">
        <f ca="1">HYPERLINK("[" &amp; SUBSTITUTE(LEFT(CELL("filename"),FIND("]",CELL("filename"))),"[","") &amp; "immature_mTEC!A1",  "immature mTEC")</f>
        <v>immature mTEC</v>
      </c>
      <c r="B5" t="s">
        <v>2072</v>
      </c>
    </row>
    <row r="6" spans="1:9" x14ac:dyDescent="0.25">
      <c r="A6" s="24" t="str">
        <f ca="1">HYPERLINK("[" &amp; SUBSTITUTE(LEFT(CELL("filename"),FIND("]",CELL("filename"))),"[","") &amp; "Aire_negative_mature_mTEC!A1",  "Aire negative mature mTEC")</f>
        <v>Aire negative mature mTEC</v>
      </c>
      <c r="B6" t="s">
        <v>2079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3"/>
  <sheetViews>
    <sheetView workbookViewId="0"/>
  </sheetViews>
  <sheetFormatPr defaultRowHeight="15" x14ac:dyDescent="0.25"/>
  <cols>
    <col min="1" max="1" width="11" customWidth="1"/>
    <col min="2" max="2" width="13" customWidth="1"/>
    <col min="3" max="5" width="39.42578125" customWidth="1"/>
  </cols>
  <sheetData>
    <row r="1" spans="1:5" x14ac:dyDescent="0.25">
      <c r="A1" s="17" t="s">
        <v>1534</v>
      </c>
      <c r="B1" s="17" t="s">
        <v>1232</v>
      </c>
      <c r="C1" s="17" t="s">
        <v>2073</v>
      </c>
      <c r="D1" s="17" t="s">
        <v>2074</v>
      </c>
      <c r="E1" s="17" t="s">
        <v>2075</v>
      </c>
    </row>
    <row r="2" spans="1:5" x14ac:dyDescent="0.25">
      <c r="A2" t="s">
        <v>1205</v>
      </c>
      <c r="B2" s="1" t="str">
        <f>HYPERLINK("http://www.ncbi.nlm.nih.gov/pubmed/?term=Ctsl", "Ctsl")</f>
        <v>Ctsl</v>
      </c>
      <c r="C2" s="19">
        <v>12.53</v>
      </c>
      <c r="D2" s="5">
        <v>8.9949999999999992</v>
      </c>
      <c r="E2" s="4">
        <v>5.8230000000000004</v>
      </c>
    </row>
    <row r="3" spans="1:5" x14ac:dyDescent="0.25">
      <c r="A3" t="s">
        <v>1513</v>
      </c>
      <c r="B3" s="1" t="str">
        <f>HYPERLINK("http://www.ncbi.nlm.nih.gov/pubmed/?term=Krt18", "Krt18")</f>
        <v>Krt18</v>
      </c>
      <c r="C3" s="19">
        <v>11.59</v>
      </c>
      <c r="D3" s="14">
        <v>9.2690000000000001</v>
      </c>
      <c r="E3" s="14">
        <v>9.3729999999999993</v>
      </c>
    </row>
    <row r="4" spans="1:5" x14ac:dyDescent="0.25">
      <c r="A4" t="s">
        <v>554</v>
      </c>
      <c r="B4" s="1" t="str">
        <f>HYPERLINK("http://www.ncbi.nlm.nih.gov/pubmed/?term=Cstb", "Cstb")</f>
        <v>Cstb</v>
      </c>
      <c r="C4" s="21">
        <v>10.83</v>
      </c>
      <c r="D4" s="15">
        <v>7.4470000000000001</v>
      </c>
      <c r="E4" s="5">
        <v>8.3089999999999993</v>
      </c>
    </row>
    <row r="5" spans="1:5" x14ac:dyDescent="0.25">
      <c r="A5" t="s">
        <v>1267</v>
      </c>
      <c r="B5" s="1" t="str">
        <f>HYPERLINK("http://www.ncbi.nlm.nih.gov/pubmed/?term=Ccl25", "Ccl25")</f>
        <v>Ccl25</v>
      </c>
      <c r="C5" s="21">
        <v>10.93</v>
      </c>
      <c r="D5" s="22">
        <v>3.8620000000000001</v>
      </c>
      <c r="E5" s="5">
        <v>8.8089999999999993</v>
      </c>
    </row>
    <row r="6" spans="1:5" x14ac:dyDescent="0.25">
      <c r="A6" t="s">
        <v>1863</v>
      </c>
      <c r="B6" s="1" t="str">
        <f>HYPERLINK("http://www.ncbi.nlm.nih.gov/pubmed/?term=Krt8", "Krt8")</f>
        <v>Krt8</v>
      </c>
      <c r="C6" s="19">
        <v>11.1</v>
      </c>
      <c r="D6" s="14">
        <v>9.44</v>
      </c>
      <c r="E6" s="14">
        <v>9.9529999999999994</v>
      </c>
    </row>
    <row r="7" spans="1:5" x14ac:dyDescent="0.25">
      <c r="A7" t="s">
        <v>656</v>
      </c>
      <c r="B7" s="1" t="str">
        <f>HYPERLINK("http://www.ncbi.nlm.nih.gov/pubmed/?term=Tbata", "Tbata")</f>
        <v>Tbata</v>
      </c>
      <c r="C7" s="21">
        <v>10.72</v>
      </c>
      <c r="D7" s="4">
        <v>5.1660000000000004</v>
      </c>
      <c r="E7" s="5">
        <v>8.94</v>
      </c>
    </row>
    <row r="8" spans="1:5" x14ac:dyDescent="0.25">
      <c r="A8" t="s">
        <v>312</v>
      </c>
      <c r="B8" s="1" t="str">
        <f>HYPERLINK("http://www.ncbi.nlm.nih.gov/pubmed/?term=Pltp", "Pltp")</f>
        <v>Pltp</v>
      </c>
      <c r="C8" s="14">
        <v>9.7780000000000005</v>
      </c>
      <c r="D8" s="13">
        <v>6.6390000000000002</v>
      </c>
      <c r="E8" s="20">
        <v>4.5</v>
      </c>
    </row>
    <row r="9" spans="1:5" x14ac:dyDescent="0.25">
      <c r="A9" t="s">
        <v>370</v>
      </c>
      <c r="B9" s="1" t="str">
        <f>HYPERLINK("http://www.ncbi.nlm.nih.gov/pubmed/?term=Psmb11", "Psmb11")</f>
        <v>Psmb11</v>
      </c>
      <c r="C9" s="15">
        <v>7.97</v>
      </c>
      <c r="D9" s="12">
        <v>-0.65380000000000005</v>
      </c>
      <c r="E9" s="12">
        <v>-0.23050000000000001</v>
      </c>
    </row>
    <row r="10" spans="1:5" x14ac:dyDescent="0.25">
      <c r="A10" t="s">
        <v>742</v>
      </c>
      <c r="B10" s="1" t="str">
        <f>HYPERLINK("http://www.ncbi.nlm.nih.gov/pubmed/?term=1110049F12Rik", "1110049F12Rik")</f>
        <v>1110049F12Rik</v>
      </c>
      <c r="C10" s="5">
        <v>8.6259999999999994</v>
      </c>
      <c r="D10" s="22">
        <v>3.9089999999999998</v>
      </c>
      <c r="E10" s="22">
        <v>3.99</v>
      </c>
    </row>
    <row r="11" spans="1:5" x14ac:dyDescent="0.25">
      <c r="A11" t="s">
        <v>1949</v>
      </c>
      <c r="B11" s="1" t="str">
        <f>HYPERLINK("http://www.ncbi.nlm.nih.gov/pubmed/?term=Cxcl12", "Cxcl12")</f>
        <v>Cxcl12</v>
      </c>
      <c r="C11" s="5">
        <v>8.0980000000000008</v>
      </c>
      <c r="D11" s="11">
        <v>1.8280000000000001</v>
      </c>
      <c r="E11" s="12">
        <v>-1.3660000000000001</v>
      </c>
    </row>
    <row r="12" spans="1:5" x14ac:dyDescent="0.25">
      <c r="A12" t="s">
        <v>1621</v>
      </c>
      <c r="B12" s="1" t="str">
        <f>HYPERLINK("http://www.ncbi.nlm.nih.gov/pubmed/?term=Crip3", "Crip3")</f>
        <v>Crip3</v>
      </c>
      <c r="C12" s="14">
        <v>9.4920000000000009</v>
      </c>
      <c r="D12" s="22">
        <v>3.7330000000000001</v>
      </c>
      <c r="E12" s="5">
        <v>8.4570000000000007</v>
      </c>
    </row>
    <row r="13" spans="1:5" x14ac:dyDescent="0.25">
      <c r="A13" t="s">
        <v>1420</v>
      </c>
      <c r="B13" s="1" t="str">
        <f>HYPERLINK("http://www.ncbi.nlm.nih.gov/pubmed/?term=Gas6", "Gas6")</f>
        <v>Gas6</v>
      </c>
      <c r="C13" s="14">
        <v>9.1639999999999997</v>
      </c>
      <c r="D13" s="15">
        <v>7.3410000000000002</v>
      </c>
      <c r="E13" s="13">
        <v>6.83</v>
      </c>
    </row>
    <row r="14" spans="1:5" x14ac:dyDescent="0.25">
      <c r="A14" t="s">
        <v>267</v>
      </c>
      <c r="B14" s="1" t="str">
        <f>HYPERLINK("http://www.ncbi.nlm.nih.gov/pubmed/?term=Isg20", "Isg20")</f>
        <v>Isg20</v>
      </c>
      <c r="C14" s="5">
        <v>8.4489999999999998</v>
      </c>
      <c r="D14" s="22">
        <v>3.6760000000000002</v>
      </c>
      <c r="E14" s="20">
        <v>4.3220000000000001</v>
      </c>
    </row>
    <row r="15" spans="1:5" x14ac:dyDescent="0.25">
      <c r="A15" t="s">
        <v>1198</v>
      </c>
      <c r="B15" s="1" t="str">
        <f>HYPERLINK("http://www.ncbi.nlm.nih.gov/pubmed/?term=Lamp2", "Lamp2")</f>
        <v>Lamp2</v>
      </c>
      <c r="C15" s="14">
        <v>9.0220000000000002</v>
      </c>
      <c r="D15" s="13">
        <v>6.65</v>
      </c>
      <c r="E15" s="13">
        <v>6.9980000000000002</v>
      </c>
    </row>
    <row r="16" spans="1:5" x14ac:dyDescent="0.25">
      <c r="A16" t="s">
        <v>1030</v>
      </c>
      <c r="B16" s="1" t="str">
        <f>HYPERLINK("http://www.ncbi.nlm.nih.gov/pubmed/?term=Pax1", "Pax1")</f>
        <v>Pax1</v>
      </c>
      <c r="C16" s="5">
        <v>8.5609999999999999</v>
      </c>
      <c r="D16" s="4">
        <v>5.0460000000000003</v>
      </c>
      <c r="E16" s="22">
        <v>3.6739999999999999</v>
      </c>
    </row>
    <row r="17" spans="1:5" x14ac:dyDescent="0.25">
      <c r="A17" t="s">
        <v>719</v>
      </c>
      <c r="B17" s="1" t="str">
        <f>HYPERLINK("http://www.ncbi.nlm.nih.gov/pubmed/?term=Tsc22d1", "Tsc22d1")</f>
        <v>Tsc22d1</v>
      </c>
      <c r="C17" s="14">
        <v>9.2219999999999995</v>
      </c>
      <c r="D17" s="5">
        <v>8.0619999999999994</v>
      </c>
      <c r="E17" s="15">
        <v>7.2560000000000002</v>
      </c>
    </row>
    <row r="18" spans="1:5" x14ac:dyDescent="0.25">
      <c r="A18" t="s">
        <v>1103</v>
      </c>
      <c r="B18" s="1" t="str">
        <f>HYPERLINK("http://www.ncbi.nlm.nih.gov/pubmed/?term=D930015E06Rik", "D930015E06Rik")</f>
        <v>D930015E06Rik</v>
      </c>
      <c r="C18" s="5">
        <v>8.4990000000000006</v>
      </c>
      <c r="D18" s="20">
        <v>4.4329999999999998</v>
      </c>
      <c r="E18" s="4">
        <v>5.8230000000000004</v>
      </c>
    </row>
    <row r="19" spans="1:5" x14ac:dyDescent="0.25">
      <c r="A19" t="s">
        <v>1759</v>
      </c>
      <c r="B19" s="1" t="str">
        <f>HYPERLINK("http://www.ncbi.nlm.nih.gov/pubmed/?term=Cd83", "Cd83")</f>
        <v>Cd83</v>
      </c>
      <c r="C19" s="5">
        <v>8.2289999999999992</v>
      </c>
      <c r="D19" s="12">
        <v>0.26650000000000001</v>
      </c>
      <c r="E19" s="20">
        <v>4.6970000000000001</v>
      </c>
    </row>
    <row r="20" spans="1:5" x14ac:dyDescent="0.25">
      <c r="A20" t="s">
        <v>790</v>
      </c>
      <c r="B20" s="1" t="str">
        <f>HYPERLINK("http://www.ncbi.nlm.nih.gov/pubmed/?term=Zfp36", "Zfp36")</f>
        <v>Zfp36</v>
      </c>
      <c r="C20" s="5">
        <v>8.7810000000000006</v>
      </c>
      <c r="D20" s="15">
        <v>7.5019999999999998</v>
      </c>
      <c r="E20" s="15">
        <v>7.5279999999999996</v>
      </c>
    </row>
    <row r="21" spans="1:5" x14ac:dyDescent="0.25">
      <c r="A21" t="s">
        <v>1864</v>
      </c>
      <c r="B21" s="1" t="str">
        <f>HYPERLINK("http://www.ncbi.nlm.nih.gov/pubmed/?term=Psmb4", "Psmb4")</f>
        <v>Psmb4</v>
      </c>
      <c r="C21" s="5">
        <v>8.6140000000000008</v>
      </c>
      <c r="D21" s="13">
        <v>6.4870000000000001</v>
      </c>
      <c r="E21" s="13">
        <v>6.84</v>
      </c>
    </row>
    <row r="22" spans="1:5" x14ac:dyDescent="0.25">
      <c r="A22" t="s">
        <v>2002</v>
      </c>
      <c r="B22" s="1" t="str">
        <f>HYPERLINK("http://www.ncbi.nlm.nih.gov/pubmed/?term=Ndrg3", "Ndrg3")</f>
        <v>Ndrg3</v>
      </c>
      <c r="C22" s="5">
        <v>8.0670000000000002</v>
      </c>
      <c r="D22" s="20">
        <v>4.7450000000000001</v>
      </c>
      <c r="E22" s="20">
        <v>4.4169999999999998</v>
      </c>
    </row>
    <row r="23" spans="1:5" x14ac:dyDescent="0.25">
      <c r="A23" t="s">
        <v>165</v>
      </c>
      <c r="B23" s="1" t="str">
        <f>HYPERLINK("http://www.ncbi.nlm.nih.gov/pubmed/?term=Exoc7", "Exoc7")</f>
        <v>Exoc7</v>
      </c>
      <c r="C23" s="5">
        <v>8.0150000000000006</v>
      </c>
      <c r="D23" s="20">
        <v>4.5519999999999996</v>
      </c>
      <c r="E23" s="20">
        <v>4.532</v>
      </c>
    </row>
    <row r="24" spans="1:5" x14ac:dyDescent="0.25">
      <c r="A24" t="s">
        <v>40</v>
      </c>
      <c r="B24" s="1" t="str">
        <f>HYPERLINK("http://www.ncbi.nlm.nih.gov/pubmed/?term=Frmd6", "Frmd6")</f>
        <v>Frmd6</v>
      </c>
      <c r="C24" s="15">
        <v>7.9219999999999997</v>
      </c>
      <c r="D24" s="20">
        <v>4.3129999999999997</v>
      </c>
      <c r="E24" s="11">
        <v>1.258</v>
      </c>
    </row>
    <row r="25" spans="1:5" x14ac:dyDescent="0.25">
      <c r="A25" t="s">
        <v>1948</v>
      </c>
      <c r="B25" s="1" t="str">
        <f>HYPERLINK("http://www.ncbi.nlm.nih.gov/pubmed/?term=Cnn3", "Cnn3")</f>
        <v>Cnn3</v>
      </c>
      <c r="C25" s="5">
        <v>8.5470000000000006</v>
      </c>
      <c r="D25" s="13">
        <v>6.9619999999999997</v>
      </c>
      <c r="E25" s="15">
        <v>7.4610000000000003</v>
      </c>
    </row>
    <row r="26" spans="1:5" x14ac:dyDescent="0.25">
      <c r="A26" t="s">
        <v>1723</v>
      </c>
      <c r="B26" s="1" t="str">
        <f>HYPERLINK("http://www.ncbi.nlm.nih.gov/pubmed/?term=Pds5b", "Pds5b")</f>
        <v>Pds5b</v>
      </c>
      <c r="C26" s="15">
        <v>7.7949999999999999</v>
      </c>
      <c r="D26" s="3">
        <v>2.8290000000000002</v>
      </c>
      <c r="E26" s="20">
        <v>4.2610000000000001</v>
      </c>
    </row>
    <row r="27" spans="1:5" x14ac:dyDescent="0.25">
      <c r="A27" t="s">
        <v>1438</v>
      </c>
      <c r="B27" s="1" t="str">
        <f>HYPERLINK("http://www.ncbi.nlm.nih.gov/pubmed/?term=2810405K02Rik", "2810405K02Rik")</f>
        <v>2810405K02Rik</v>
      </c>
      <c r="C27" s="5">
        <v>8.3759999999999994</v>
      </c>
      <c r="D27" s="13">
        <v>6.4939999999999998</v>
      </c>
      <c r="E27" s="13">
        <v>6.77</v>
      </c>
    </row>
    <row r="28" spans="1:5" x14ac:dyDescent="0.25">
      <c r="A28" t="s">
        <v>1665</v>
      </c>
      <c r="B28" s="1" t="str">
        <f>HYPERLINK("http://www.ncbi.nlm.nih.gov/pubmed/?term=Irf1", "Irf1")</f>
        <v>Irf1</v>
      </c>
      <c r="C28" s="5">
        <v>8.4209999999999994</v>
      </c>
      <c r="D28" s="13">
        <v>6.1859999999999999</v>
      </c>
      <c r="E28" s="13">
        <v>6.97</v>
      </c>
    </row>
    <row r="29" spans="1:5" x14ac:dyDescent="0.25">
      <c r="A29" t="s">
        <v>840</v>
      </c>
      <c r="B29" s="1" t="str">
        <f>HYPERLINK("http://www.ncbi.nlm.nih.gov/pubmed/?term=Dsp", "Dsp")</f>
        <v>Dsp</v>
      </c>
      <c r="C29" s="5">
        <v>8.4879999999999995</v>
      </c>
      <c r="D29" s="15">
        <v>7.3239999999999998</v>
      </c>
      <c r="E29" s="13">
        <v>6.1459999999999999</v>
      </c>
    </row>
    <row r="30" spans="1:5" x14ac:dyDescent="0.25">
      <c r="A30" t="s">
        <v>931</v>
      </c>
      <c r="B30" s="1" t="str">
        <f>HYPERLINK("http://www.ncbi.nlm.nih.gov/pubmed/?term=Psat1", "Psat1")</f>
        <v>Psat1</v>
      </c>
      <c r="C30" s="15">
        <v>7.7460000000000004</v>
      </c>
      <c r="D30" s="20">
        <v>4.3209999999999997</v>
      </c>
      <c r="E30" s="22">
        <v>3.7690000000000001</v>
      </c>
    </row>
    <row r="31" spans="1:5" x14ac:dyDescent="0.25">
      <c r="A31" t="s">
        <v>953</v>
      </c>
      <c r="B31" s="1" t="str">
        <f>HYPERLINK("http://www.ncbi.nlm.nih.gov/pubmed/?term=Nqo1", "Nqo1")</f>
        <v>Nqo1</v>
      </c>
      <c r="C31" s="15">
        <v>7.782</v>
      </c>
      <c r="D31" s="3">
        <v>2.028</v>
      </c>
      <c r="E31" s="20">
        <v>4.57</v>
      </c>
    </row>
    <row r="32" spans="1:5" x14ac:dyDescent="0.25">
      <c r="A32" t="s">
        <v>1315</v>
      </c>
      <c r="B32" s="1" t="str">
        <f>HYPERLINK("http://www.ncbi.nlm.nih.gov/pubmed/?term=Syngr1", "Syngr1")</f>
        <v>Syngr1</v>
      </c>
      <c r="C32" s="15">
        <v>7.0090000000000003</v>
      </c>
      <c r="D32" s="11">
        <v>1.26</v>
      </c>
      <c r="E32" s="12">
        <v>0.72409999999999997</v>
      </c>
    </row>
    <row r="33" spans="1:5" x14ac:dyDescent="0.25">
      <c r="A33" t="s">
        <v>1815</v>
      </c>
      <c r="B33" s="1" t="str">
        <f>HYPERLINK("http://www.ncbi.nlm.nih.gov/pubmed/?term=Dact2", "Dact2")</f>
        <v>Dact2</v>
      </c>
      <c r="C33" s="15">
        <v>7.56</v>
      </c>
      <c r="D33" s="22">
        <v>3.83</v>
      </c>
      <c r="E33" s="22">
        <v>3.9239999999999999</v>
      </c>
    </row>
    <row r="34" spans="1:5" x14ac:dyDescent="0.25">
      <c r="A34" t="s">
        <v>1932</v>
      </c>
      <c r="B34" s="1" t="str">
        <f>HYPERLINK("http://www.ncbi.nlm.nih.gov/pubmed/?term=5033414D02Rik", "5033414D02Rik")</f>
        <v>5033414D02Rik</v>
      </c>
      <c r="C34" s="15">
        <v>7.9989999999999997</v>
      </c>
      <c r="D34" s="4">
        <v>5.9850000000000003</v>
      </c>
      <c r="E34" s="4">
        <v>5.3550000000000004</v>
      </c>
    </row>
    <row r="35" spans="1:5" x14ac:dyDescent="0.25">
      <c r="A35" t="s">
        <v>1118</v>
      </c>
      <c r="B35" s="1" t="str">
        <f>HYPERLINK("http://www.ncbi.nlm.nih.gov/pubmed/?term=Psmb9", "Psmb9")</f>
        <v>Psmb9</v>
      </c>
      <c r="C35" s="5">
        <v>8.0960000000000001</v>
      </c>
      <c r="D35" s="13">
        <v>6.6079999999999997</v>
      </c>
      <c r="E35" s="13">
        <v>6.3289999999999997</v>
      </c>
    </row>
    <row r="36" spans="1:5" x14ac:dyDescent="0.25">
      <c r="A36" t="s">
        <v>1168</v>
      </c>
      <c r="B36" s="1" t="str">
        <f>HYPERLINK("http://www.ncbi.nlm.nih.gov/pubmed/?term=Ly75", "Ly75")</f>
        <v>Ly75</v>
      </c>
      <c r="C36" s="15">
        <v>7.4509999999999996</v>
      </c>
      <c r="D36" s="3">
        <v>2.5649999999999999</v>
      </c>
      <c r="E36" s="22">
        <v>3.94</v>
      </c>
    </row>
    <row r="37" spans="1:5" x14ac:dyDescent="0.25">
      <c r="A37" t="s">
        <v>503</v>
      </c>
      <c r="B37" s="1" t="str">
        <f>HYPERLINK("http://www.ncbi.nlm.nih.gov/pubmed/?term=Psma7", "Psma7")</f>
        <v>Psma7</v>
      </c>
      <c r="C37" s="5">
        <v>8.0350000000000001</v>
      </c>
      <c r="D37" s="13">
        <v>6.7530000000000001</v>
      </c>
      <c r="E37" s="13">
        <v>6.7610000000000001</v>
      </c>
    </row>
    <row r="38" spans="1:5" x14ac:dyDescent="0.25">
      <c r="A38" t="s">
        <v>1090</v>
      </c>
      <c r="B38" s="1" t="str">
        <f>HYPERLINK("http://www.ncbi.nlm.nih.gov/pubmed/?term=Fkbp1a", "Fkbp1a")</f>
        <v>Fkbp1a</v>
      </c>
      <c r="C38" s="15">
        <v>7.9059999999999997</v>
      </c>
      <c r="D38" s="13">
        <v>6.45</v>
      </c>
      <c r="E38" s="13">
        <v>6.5529999999999999</v>
      </c>
    </row>
    <row r="39" spans="1:5" x14ac:dyDescent="0.25">
      <c r="A39" t="s">
        <v>938</v>
      </c>
      <c r="B39" s="1" t="str">
        <f>HYPERLINK("http://www.ncbi.nlm.nih.gov/pubmed/?term=Rhob", "Rhob")</f>
        <v>Rhob</v>
      </c>
      <c r="C39" s="15">
        <v>7.585</v>
      </c>
      <c r="D39" s="4">
        <v>5.31</v>
      </c>
      <c r="E39" s="20">
        <v>4.7169999999999996</v>
      </c>
    </row>
    <row r="40" spans="1:5" x14ac:dyDescent="0.25">
      <c r="A40" t="s">
        <v>624</v>
      </c>
      <c r="B40" s="1" t="str">
        <f>HYPERLINK("http://www.ncbi.nlm.nih.gov/pubmed/?term=Slc46a2", "Slc46a2")</f>
        <v>Slc46a2</v>
      </c>
      <c r="C40" s="15">
        <v>7.6870000000000003</v>
      </c>
      <c r="D40" s="4">
        <v>5.7619999999999996</v>
      </c>
      <c r="E40" s="20">
        <v>4.1630000000000003</v>
      </c>
    </row>
    <row r="41" spans="1:5" x14ac:dyDescent="0.25">
      <c r="A41" t="s">
        <v>1268</v>
      </c>
      <c r="B41" s="1" t="str">
        <f>HYPERLINK("http://www.ncbi.nlm.nih.gov/pubmed/?term=Hes6", "Hes6")</f>
        <v>Hes6</v>
      </c>
      <c r="C41" s="15">
        <v>7.8239999999999998</v>
      </c>
      <c r="D41" s="13">
        <v>6.6310000000000002</v>
      </c>
      <c r="E41" s="13">
        <v>6.3029999999999999</v>
      </c>
    </row>
    <row r="42" spans="1:5" x14ac:dyDescent="0.25">
      <c r="A42" t="s">
        <v>846</v>
      </c>
      <c r="B42" s="1" t="str">
        <f>HYPERLINK("http://www.ncbi.nlm.nih.gov/pubmed/?term=Hgsnat", "Hgsnat")</f>
        <v>Hgsnat</v>
      </c>
      <c r="C42" s="15">
        <v>7.1710000000000003</v>
      </c>
      <c r="D42" s="22">
        <v>3.9780000000000002</v>
      </c>
      <c r="E42" s="22">
        <v>3.1669999999999998</v>
      </c>
    </row>
    <row r="43" spans="1:5" x14ac:dyDescent="0.25">
      <c r="A43" t="s">
        <v>801</v>
      </c>
      <c r="B43" s="1" t="str">
        <f>HYPERLINK("http://www.ncbi.nlm.nih.gov/pubmed/?term=Slc36a1", "Slc36a1")</f>
        <v>Slc36a1</v>
      </c>
      <c r="C43" s="13">
        <v>6.8890000000000002</v>
      </c>
      <c r="D43" s="3">
        <v>2.7709999999999999</v>
      </c>
      <c r="E43" s="3">
        <v>2.1139999999999999</v>
      </c>
    </row>
    <row r="44" spans="1:5" x14ac:dyDescent="0.25">
      <c r="A44" t="s">
        <v>1495</v>
      </c>
      <c r="B44" s="1" t="str">
        <f>HYPERLINK("http://www.ncbi.nlm.nih.gov/pubmed/?term=Dynll2", "Dynll2")</f>
        <v>Dynll2</v>
      </c>
      <c r="C44" s="15">
        <v>7.5940000000000003</v>
      </c>
      <c r="D44" s="4">
        <v>5.9109999999999996</v>
      </c>
      <c r="E44" s="4">
        <v>5.665</v>
      </c>
    </row>
    <row r="45" spans="1:5" x14ac:dyDescent="0.25">
      <c r="A45" t="s">
        <v>1930</v>
      </c>
      <c r="B45" s="1" t="str">
        <f>HYPERLINK("http://www.ncbi.nlm.nih.gov/pubmed/?term=Cd274", "Cd274")</f>
        <v>Cd274</v>
      </c>
      <c r="C45" s="15">
        <v>7.47</v>
      </c>
      <c r="D45" s="20">
        <v>4.8570000000000002</v>
      </c>
      <c r="E45" s="4">
        <v>5.4359999999999999</v>
      </c>
    </row>
    <row r="46" spans="1:5" x14ac:dyDescent="0.25">
      <c r="A46" t="s">
        <v>860</v>
      </c>
      <c r="B46" s="1" t="str">
        <f>HYPERLINK("http://www.ncbi.nlm.nih.gov/pubmed/?term=Slc25a4", "Slc25a4")</f>
        <v>Slc25a4</v>
      </c>
      <c r="C46" s="15">
        <v>7.6870000000000003</v>
      </c>
      <c r="D46" s="13">
        <v>6.3120000000000003</v>
      </c>
      <c r="E46" s="13">
        <v>6.6520000000000001</v>
      </c>
    </row>
    <row r="47" spans="1:5" x14ac:dyDescent="0.25">
      <c r="A47" t="s">
        <v>98</v>
      </c>
      <c r="B47" s="1" t="str">
        <f>HYPERLINK("http://www.ncbi.nlm.nih.gov/pubmed/?term=Calcoco1", "Calcoco1")</f>
        <v>Calcoco1</v>
      </c>
      <c r="C47" s="15">
        <v>7.2220000000000004</v>
      </c>
      <c r="D47" s="20">
        <v>4.7720000000000002</v>
      </c>
      <c r="E47" s="22">
        <v>3.621</v>
      </c>
    </row>
    <row r="48" spans="1:5" x14ac:dyDescent="0.25">
      <c r="A48" t="s">
        <v>301</v>
      </c>
      <c r="B48" s="1" t="str">
        <f>HYPERLINK("http://www.ncbi.nlm.nih.gov/pubmed/?term=Etfa", "Etfa")</f>
        <v>Etfa</v>
      </c>
      <c r="C48" s="15">
        <v>7.5490000000000004</v>
      </c>
      <c r="D48" s="4">
        <v>5.6840000000000002</v>
      </c>
      <c r="E48" s="13">
        <v>6.2990000000000004</v>
      </c>
    </row>
    <row r="49" spans="1:5" x14ac:dyDescent="0.25">
      <c r="A49" t="s">
        <v>728</v>
      </c>
      <c r="B49" s="1" t="str">
        <f>HYPERLINK("http://www.ncbi.nlm.nih.gov/pubmed/?term=Alcam", "Alcam")</f>
        <v>Alcam</v>
      </c>
      <c r="C49" s="15">
        <v>7.5629999999999997</v>
      </c>
      <c r="D49" s="4">
        <v>5.4039999999999999</v>
      </c>
      <c r="E49" s="13">
        <v>6.3869999999999996</v>
      </c>
    </row>
    <row r="50" spans="1:5" x14ac:dyDescent="0.25">
      <c r="A50" t="s">
        <v>345</v>
      </c>
      <c r="B50" s="1" t="str">
        <f>HYPERLINK("http://www.ncbi.nlm.nih.gov/pubmed/?term=Man2a1", "Man2a1")</f>
        <v>Man2a1</v>
      </c>
      <c r="C50" s="15">
        <v>7.125</v>
      </c>
      <c r="D50" s="20">
        <v>4.5069999999999997</v>
      </c>
      <c r="E50" s="3">
        <v>2.9980000000000002</v>
      </c>
    </row>
    <row r="51" spans="1:5" x14ac:dyDescent="0.25">
      <c r="A51" t="s">
        <v>1504</v>
      </c>
      <c r="B51" s="1" t="str">
        <f>HYPERLINK("http://www.ncbi.nlm.nih.gov/pubmed/?term=Penk", "Penk")</f>
        <v>Penk</v>
      </c>
      <c r="C51" s="13">
        <v>6.423</v>
      </c>
      <c r="D51" s="11">
        <v>1.5549999999999999</v>
      </c>
      <c r="E51" s="11">
        <v>1.5569999999999999</v>
      </c>
    </row>
    <row r="52" spans="1:5" x14ac:dyDescent="0.25">
      <c r="A52" t="s">
        <v>270</v>
      </c>
      <c r="B52" s="1" t="str">
        <f>HYPERLINK("http://www.ncbi.nlm.nih.gov/pubmed/?term=Gatsl3", "Gatsl3")</f>
        <v>Gatsl3</v>
      </c>
      <c r="C52" s="13">
        <v>6.7990000000000004</v>
      </c>
      <c r="D52" s="22">
        <v>3.262</v>
      </c>
      <c r="E52" s="3">
        <v>2.2719999999999998</v>
      </c>
    </row>
    <row r="53" spans="1:5" x14ac:dyDescent="0.25">
      <c r="A53" t="s">
        <v>1860</v>
      </c>
      <c r="B53" s="1" t="str">
        <f>HYPERLINK("http://www.ncbi.nlm.nih.gov/pubmed/?term=Cdh4", "Cdh4")</f>
        <v>Cdh4</v>
      </c>
      <c r="C53" s="13">
        <v>6.5129999999999999</v>
      </c>
      <c r="D53" s="12">
        <v>0.82089999999999996</v>
      </c>
      <c r="E53" s="3">
        <v>2.0779999999999998</v>
      </c>
    </row>
    <row r="54" spans="1:5" x14ac:dyDescent="0.25">
      <c r="A54" t="s">
        <v>1848</v>
      </c>
      <c r="B54" s="1" t="str">
        <f>HYPERLINK("http://www.ncbi.nlm.nih.gov/pubmed/?term=Dll4", "Dll4")</f>
        <v>Dll4</v>
      </c>
      <c r="C54" s="13">
        <v>6.617</v>
      </c>
      <c r="D54" s="12">
        <v>0.5917</v>
      </c>
      <c r="E54" s="3">
        <v>2.661</v>
      </c>
    </row>
    <row r="55" spans="1:5" x14ac:dyDescent="0.25">
      <c r="A55" t="s">
        <v>602</v>
      </c>
      <c r="B55" s="1" t="str">
        <f>HYPERLINK("http://www.ncbi.nlm.nih.gov/pubmed/?term=Atp6v1g1", "Atp6v1g1")</f>
        <v>Atp6v1g1</v>
      </c>
      <c r="C55" s="15">
        <v>7.4169999999999998</v>
      </c>
      <c r="D55" s="13">
        <v>6.1340000000000003</v>
      </c>
      <c r="E55" s="4">
        <v>5.6260000000000003</v>
      </c>
    </row>
    <row r="56" spans="1:5" x14ac:dyDescent="0.25">
      <c r="A56" t="s">
        <v>665</v>
      </c>
      <c r="B56" s="1" t="str">
        <f>HYPERLINK("http://www.ncbi.nlm.nih.gov/pubmed/?term=Psma1", "Psma1")</f>
        <v>Psma1</v>
      </c>
      <c r="C56" s="15">
        <v>7.4409999999999998</v>
      </c>
      <c r="D56" s="13">
        <v>6.1639999999999997</v>
      </c>
      <c r="E56" s="13">
        <v>6.258</v>
      </c>
    </row>
    <row r="57" spans="1:5" x14ac:dyDescent="0.25">
      <c r="A57" t="s">
        <v>457</v>
      </c>
      <c r="B57" s="1" t="str">
        <f>HYPERLINK("http://www.ncbi.nlm.nih.gov/pubmed/?term=Mfsd12", "Mfsd12")</f>
        <v>Mfsd12</v>
      </c>
      <c r="C57" s="13">
        <v>6.6459999999999999</v>
      </c>
      <c r="D57" s="11">
        <v>1.3660000000000001</v>
      </c>
      <c r="E57" s="3">
        <v>2.9580000000000002</v>
      </c>
    </row>
    <row r="58" spans="1:5" x14ac:dyDescent="0.25">
      <c r="A58" t="s">
        <v>328</v>
      </c>
      <c r="B58" s="1" t="str">
        <f>HYPERLINK("http://www.ncbi.nlm.nih.gov/pubmed/?term=Snx3", "Snx3")</f>
        <v>Snx3</v>
      </c>
      <c r="C58" s="15">
        <v>7.2679999999999998</v>
      </c>
      <c r="D58" s="4">
        <v>5.5339999999999998</v>
      </c>
      <c r="E58" s="4">
        <v>5.6470000000000002</v>
      </c>
    </row>
    <row r="59" spans="1:5" x14ac:dyDescent="0.25">
      <c r="A59" t="s">
        <v>1529</v>
      </c>
      <c r="B59" s="1" t="str">
        <f>HYPERLINK("http://www.ncbi.nlm.nih.gov/pubmed/?term=Neurl2", "Neurl2")</f>
        <v>Neurl2</v>
      </c>
      <c r="C59" s="13">
        <v>6.218</v>
      </c>
      <c r="D59" s="11">
        <v>1.111</v>
      </c>
      <c r="E59" s="12">
        <v>-0.79920000000000002</v>
      </c>
    </row>
    <row r="60" spans="1:5" x14ac:dyDescent="0.25">
      <c r="A60" t="s">
        <v>973</v>
      </c>
      <c r="B60" s="1" t="str">
        <f>HYPERLINK("http://www.ncbi.nlm.nih.gov/pubmed/?term=Fn1", "Fn1")</f>
        <v>Fn1</v>
      </c>
      <c r="C60" s="13">
        <v>6.9329999999999998</v>
      </c>
      <c r="D60" s="22">
        <v>3.0720000000000001</v>
      </c>
      <c r="E60" s="20">
        <v>4.2380000000000004</v>
      </c>
    </row>
    <row r="61" spans="1:5" x14ac:dyDescent="0.25">
      <c r="A61" t="s">
        <v>515</v>
      </c>
      <c r="B61" s="1" t="str">
        <f>HYPERLINK("http://www.ncbi.nlm.nih.gov/pubmed/?term=Serpinf1", "Serpinf1")</f>
        <v>Serpinf1</v>
      </c>
      <c r="C61" s="13">
        <v>6.2670000000000003</v>
      </c>
      <c r="D61" s="12">
        <v>0.44479999999999997</v>
      </c>
      <c r="E61" s="11">
        <v>1.3640000000000001</v>
      </c>
    </row>
    <row r="62" spans="1:5" x14ac:dyDescent="0.25">
      <c r="A62" t="s">
        <v>907</v>
      </c>
      <c r="B62" s="1" t="str">
        <f>HYPERLINK("http://www.ncbi.nlm.nih.gov/pubmed/?term=Pnrc2", "Pnrc2")</f>
        <v>Pnrc2</v>
      </c>
      <c r="C62" s="15">
        <v>7.3220000000000001</v>
      </c>
      <c r="D62" s="4">
        <v>5.9470000000000001</v>
      </c>
      <c r="E62" s="4">
        <v>5.6459999999999999</v>
      </c>
    </row>
    <row r="63" spans="1:5" x14ac:dyDescent="0.25">
      <c r="A63" t="s">
        <v>1112</v>
      </c>
      <c r="B63" s="1" t="str">
        <f>HYPERLINK("http://www.ncbi.nlm.nih.gov/pubmed/?term=Plekhb1", "Plekhb1")</f>
        <v>Plekhb1</v>
      </c>
      <c r="C63" s="13">
        <v>6.2549999999999999</v>
      </c>
      <c r="D63" s="11">
        <v>1.347</v>
      </c>
      <c r="E63" s="12">
        <v>0.75590000000000002</v>
      </c>
    </row>
    <row r="64" spans="1:5" x14ac:dyDescent="0.25">
      <c r="A64" t="s">
        <v>340</v>
      </c>
      <c r="B64" s="1" t="str">
        <f>HYPERLINK("http://www.ncbi.nlm.nih.gov/pubmed/?term=Spock2", "Spock2")</f>
        <v>Spock2</v>
      </c>
      <c r="C64" s="15">
        <v>7.0730000000000004</v>
      </c>
      <c r="D64" s="22">
        <v>3.3119999999999998</v>
      </c>
      <c r="E64" s="20">
        <v>4.9800000000000004</v>
      </c>
    </row>
    <row r="65" spans="1:5" x14ac:dyDescent="0.25">
      <c r="A65" t="s">
        <v>1161</v>
      </c>
      <c r="B65" s="1" t="str">
        <f>HYPERLINK("http://www.ncbi.nlm.nih.gov/pubmed/?term=Abat", "Abat")</f>
        <v>Abat</v>
      </c>
      <c r="C65" s="4">
        <v>5.915</v>
      </c>
      <c r="D65" s="12">
        <v>-0.83660000000000001</v>
      </c>
      <c r="E65" s="12">
        <v>-0.36659999999999998</v>
      </c>
    </row>
    <row r="66" spans="1:5" x14ac:dyDescent="0.25">
      <c r="A66" t="s">
        <v>942</v>
      </c>
      <c r="B66" s="1" t="str">
        <f>HYPERLINK("http://www.ncbi.nlm.nih.gov/pubmed/?term=Pebp1", "Pebp1")</f>
        <v>Pebp1</v>
      </c>
      <c r="C66" s="15">
        <v>7.3159999999999998</v>
      </c>
      <c r="D66" s="13">
        <v>6.1870000000000003</v>
      </c>
      <c r="E66" s="4">
        <v>5.5119999999999996</v>
      </c>
    </row>
    <row r="67" spans="1:5" x14ac:dyDescent="0.25">
      <c r="A67" t="s">
        <v>1758</v>
      </c>
      <c r="B67" s="1" t="str">
        <f>HYPERLINK("http://www.ncbi.nlm.nih.gov/pubmed/?term=Sub1", "Sub1")</f>
        <v>Sub1</v>
      </c>
      <c r="C67" s="15">
        <v>7.2809999999999997</v>
      </c>
      <c r="D67" s="4">
        <v>5.56</v>
      </c>
      <c r="E67" s="13">
        <v>6.0410000000000004</v>
      </c>
    </row>
    <row r="68" spans="1:5" x14ac:dyDescent="0.25">
      <c r="A68" t="s">
        <v>1717</v>
      </c>
      <c r="B68" s="1" t="str">
        <f>HYPERLINK("http://www.ncbi.nlm.nih.gov/pubmed/?term=Ccrl1", "Ccrl1")</f>
        <v>Ccrl1</v>
      </c>
      <c r="C68" s="13">
        <v>6.73</v>
      </c>
      <c r="D68" s="22">
        <v>3.7749999999999999</v>
      </c>
      <c r="E68" s="12">
        <v>0.27489999999999998</v>
      </c>
    </row>
    <row r="69" spans="1:5" x14ac:dyDescent="0.25">
      <c r="A69" t="s">
        <v>890</v>
      </c>
      <c r="B69" s="1" t="str">
        <f>HYPERLINK("http://www.ncbi.nlm.nih.gov/pubmed/?term=Fgf14", "Fgf14")</f>
        <v>Fgf14</v>
      </c>
      <c r="C69" s="13">
        <v>6.7590000000000003</v>
      </c>
      <c r="D69" s="11">
        <v>1.976</v>
      </c>
      <c r="E69" s="22">
        <v>3.9089999999999998</v>
      </c>
    </row>
    <row r="70" spans="1:5" x14ac:dyDescent="0.25">
      <c r="A70" t="s">
        <v>1172</v>
      </c>
      <c r="B70" s="1" t="str">
        <f>HYPERLINK("http://www.ncbi.nlm.nih.gov/pubmed/?term=Fam49b", "Fam49b")</f>
        <v>Fam49b</v>
      </c>
      <c r="C70" s="13">
        <v>6.8209999999999997</v>
      </c>
      <c r="D70" s="20">
        <v>4.2140000000000004</v>
      </c>
      <c r="E70" s="22">
        <v>3.93</v>
      </c>
    </row>
    <row r="71" spans="1:5" x14ac:dyDescent="0.25">
      <c r="A71" t="s">
        <v>883</v>
      </c>
      <c r="B71" s="1" t="str">
        <f>HYPERLINK("http://www.ncbi.nlm.nih.gov/pubmed/?term=Cbx6", "Cbx6")</f>
        <v>Cbx6</v>
      </c>
      <c r="C71" s="15">
        <v>7.0229999999999997</v>
      </c>
      <c r="D71" s="4">
        <v>5.1189999999999998</v>
      </c>
      <c r="E71" s="22">
        <v>3.246</v>
      </c>
    </row>
    <row r="72" spans="1:5" x14ac:dyDescent="0.25">
      <c r="A72" t="s">
        <v>354</v>
      </c>
      <c r="B72" s="1" t="str">
        <f>HYPERLINK("http://www.ncbi.nlm.nih.gov/pubmed/?term=Fmo1", "Fmo1")</f>
        <v>Fmo1</v>
      </c>
      <c r="C72" s="13">
        <v>6.9429999999999996</v>
      </c>
      <c r="D72" s="20">
        <v>4.3680000000000003</v>
      </c>
      <c r="E72" s="20">
        <v>4.7830000000000004</v>
      </c>
    </row>
    <row r="73" spans="1:5" x14ac:dyDescent="0.25">
      <c r="A73" t="s">
        <v>374</v>
      </c>
      <c r="B73" s="1" t="str">
        <f>HYPERLINK("http://www.ncbi.nlm.nih.gov/pubmed/?term=Psmd4", "Psmd4")</f>
        <v>Psmd4</v>
      </c>
      <c r="C73" s="15">
        <v>7.2229999999999999</v>
      </c>
      <c r="D73" s="4">
        <v>5.9770000000000003</v>
      </c>
      <c r="E73" s="13">
        <v>6.0449999999999999</v>
      </c>
    </row>
    <row r="74" spans="1:5" x14ac:dyDescent="0.25">
      <c r="A74" t="s">
        <v>146</v>
      </c>
      <c r="B74" s="1" t="str">
        <f>HYPERLINK("http://www.ncbi.nlm.nih.gov/pubmed/?term=Ppp1r27", "Ppp1r27")</f>
        <v>Ppp1r27</v>
      </c>
      <c r="C74" s="13">
        <v>6.1840000000000002</v>
      </c>
      <c r="D74" s="12">
        <v>-0.76770000000000005</v>
      </c>
      <c r="E74" s="11">
        <v>1.6060000000000001</v>
      </c>
    </row>
    <row r="75" spans="1:5" x14ac:dyDescent="0.25">
      <c r="A75" t="s">
        <v>1104</v>
      </c>
      <c r="B75" s="1" t="str">
        <f>HYPERLINK("http://www.ncbi.nlm.nih.gov/pubmed/?term=Mtss1l", "Mtss1l")</f>
        <v>Mtss1l</v>
      </c>
      <c r="C75" s="13">
        <v>6.9749999999999996</v>
      </c>
      <c r="D75" s="4">
        <v>5.2110000000000003</v>
      </c>
      <c r="E75" s="22">
        <v>3.3620000000000001</v>
      </c>
    </row>
    <row r="76" spans="1:5" x14ac:dyDescent="0.25">
      <c r="A76" t="s">
        <v>174</v>
      </c>
      <c r="B76" s="1" t="str">
        <f>HYPERLINK("http://www.ncbi.nlm.nih.gov/pubmed/?term=2700060E02Rik", "2700060E02Rik")</f>
        <v>2700060E02Rik</v>
      </c>
      <c r="C76" s="15">
        <v>7.1440000000000001</v>
      </c>
      <c r="D76" s="4">
        <v>5.9569999999999999</v>
      </c>
      <c r="E76" s="4">
        <v>5.9889999999999999</v>
      </c>
    </row>
    <row r="77" spans="1:5" x14ac:dyDescent="0.25">
      <c r="A77" t="s">
        <v>1091</v>
      </c>
      <c r="B77" s="1" t="str">
        <f>HYPERLINK("http://www.ncbi.nlm.nih.gov/pubmed/?term=Cpt1a", "Cpt1a")</f>
        <v>Cpt1a</v>
      </c>
      <c r="C77" s="13">
        <v>6.7720000000000002</v>
      </c>
      <c r="D77" s="20">
        <v>4.4340000000000002</v>
      </c>
      <c r="E77" s="22">
        <v>3.823</v>
      </c>
    </row>
    <row r="78" spans="1:5" x14ac:dyDescent="0.25">
      <c r="A78" t="s">
        <v>402</v>
      </c>
      <c r="B78" s="1" t="str">
        <f>HYPERLINK("http://www.ncbi.nlm.nih.gov/pubmed/?term=Lancl1", "Lancl1")</f>
        <v>Lancl1</v>
      </c>
      <c r="C78" s="13">
        <v>6.9</v>
      </c>
      <c r="D78" s="4">
        <v>5.0229999999999997</v>
      </c>
      <c r="E78" s="20">
        <v>4.8280000000000003</v>
      </c>
    </row>
    <row r="79" spans="1:5" x14ac:dyDescent="0.25">
      <c r="A79" t="s">
        <v>1179</v>
      </c>
      <c r="B79" s="1" t="str">
        <f>HYPERLINK("http://www.ncbi.nlm.nih.gov/pubmed/?term=Hexb", "Hexb")</f>
        <v>Hexb</v>
      </c>
      <c r="C79" s="15">
        <v>7.077</v>
      </c>
      <c r="D79" s="4">
        <v>5.8869999999999996</v>
      </c>
      <c r="E79" s="20">
        <v>4.28</v>
      </c>
    </row>
    <row r="80" spans="1:5" x14ac:dyDescent="0.25">
      <c r="A80" t="s">
        <v>1374</v>
      </c>
      <c r="B80" s="1" t="str">
        <f>HYPERLINK("http://www.ncbi.nlm.nih.gov/pubmed/?term=Snhg11", "Snhg11")</f>
        <v>Snhg11</v>
      </c>
      <c r="C80" s="4">
        <v>5.9989999999999997</v>
      </c>
      <c r="D80" s="11">
        <v>1.367</v>
      </c>
      <c r="E80" s="12">
        <v>0.21379999999999999</v>
      </c>
    </row>
    <row r="81" spans="1:5" x14ac:dyDescent="0.25">
      <c r="A81" t="s">
        <v>650</v>
      </c>
      <c r="B81" s="1" t="str">
        <f>HYPERLINK("http://www.ncbi.nlm.nih.gov/pubmed/?term=Psmd11", "Psmd11")</f>
        <v>Psmd11</v>
      </c>
      <c r="C81" s="15">
        <v>7.0090000000000003</v>
      </c>
      <c r="D81" s="4">
        <v>5.7519999999999998</v>
      </c>
      <c r="E81" s="4">
        <v>5.6970000000000001</v>
      </c>
    </row>
    <row r="82" spans="1:5" x14ac:dyDescent="0.25">
      <c r="A82" t="s">
        <v>1409</v>
      </c>
      <c r="B82" s="1" t="str">
        <f>HYPERLINK("http://www.ncbi.nlm.nih.gov/pubmed/?term=Anp32e", "Anp32e")</f>
        <v>Anp32e</v>
      </c>
      <c r="C82" s="15">
        <v>7.0810000000000004</v>
      </c>
      <c r="D82" s="4">
        <v>5.6849999999999996</v>
      </c>
      <c r="E82" s="13">
        <v>6.0620000000000003</v>
      </c>
    </row>
    <row r="83" spans="1:5" x14ac:dyDescent="0.25">
      <c r="A83" t="s">
        <v>109</v>
      </c>
      <c r="B83" s="1" t="str">
        <f>HYPERLINK("http://www.ncbi.nlm.nih.gov/pubmed/?term=Rcn1", "Rcn1")</f>
        <v>Rcn1</v>
      </c>
      <c r="C83" s="13">
        <v>6.9359999999999999</v>
      </c>
      <c r="D83" s="4">
        <v>5.4470000000000001</v>
      </c>
      <c r="E83" s="22">
        <v>3.4609999999999999</v>
      </c>
    </row>
    <row r="84" spans="1:5" x14ac:dyDescent="0.25">
      <c r="A84" t="s">
        <v>48</v>
      </c>
      <c r="B84" s="1" t="str">
        <f>HYPERLINK("http://www.ncbi.nlm.nih.gov/pubmed/?term=Psmc2", "Psmc2")</f>
        <v>Psmc2</v>
      </c>
      <c r="C84" s="15">
        <v>7.0590000000000002</v>
      </c>
      <c r="D84" s="4">
        <v>5.8280000000000003</v>
      </c>
      <c r="E84" s="13">
        <v>6.0190000000000001</v>
      </c>
    </row>
    <row r="85" spans="1:5" x14ac:dyDescent="0.25">
      <c r="A85" t="s">
        <v>991</v>
      </c>
      <c r="B85" s="1" t="str">
        <f>HYPERLINK("http://www.ncbi.nlm.nih.gov/pubmed/?term=Irgm1", "Irgm1")</f>
        <v>Irgm1</v>
      </c>
      <c r="C85" s="15">
        <v>7.04</v>
      </c>
      <c r="D85" s="4">
        <v>5.9409999999999998</v>
      </c>
      <c r="E85" s="22">
        <v>3.605</v>
      </c>
    </row>
    <row r="86" spans="1:5" x14ac:dyDescent="0.25">
      <c r="A86" t="s">
        <v>1360</v>
      </c>
      <c r="B86" s="1" t="str">
        <f>HYPERLINK("http://www.ncbi.nlm.nih.gov/pubmed/?term=Spnb2", "Spnb2")</f>
        <v>Spnb2</v>
      </c>
      <c r="C86" s="13">
        <v>6.8879999999999999</v>
      </c>
      <c r="D86" s="4">
        <v>5.4690000000000003</v>
      </c>
      <c r="E86" s="22">
        <v>3.8359999999999999</v>
      </c>
    </row>
    <row r="87" spans="1:5" x14ac:dyDescent="0.25">
      <c r="A87" t="s">
        <v>76</v>
      </c>
      <c r="B87" s="1" t="str">
        <f>HYPERLINK("http://www.ncbi.nlm.nih.gov/pubmed/?term=Aldh1l1", "Aldh1l1")</f>
        <v>Aldh1l1</v>
      </c>
      <c r="C87" s="13">
        <v>6.2720000000000002</v>
      </c>
      <c r="D87" s="3">
        <v>2.9990000000000001</v>
      </c>
      <c r="E87" s="11">
        <v>1.21</v>
      </c>
    </row>
    <row r="88" spans="1:5" x14ac:dyDescent="0.25">
      <c r="A88" t="s">
        <v>1615</v>
      </c>
      <c r="B88" s="1" t="str">
        <f>HYPERLINK("http://www.ncbi.nlm.nih.gov/pubmed/?term=Psmd7", "Psmd7")</f>
        <v>Psmd7</v>
      </c>
      <c r="C88" s="13">
        <v>6.8869999999999996</v>
      </c>
      <c r="D88" s="4">
        <v>5.6849999999999996</v>
      </c>
      <c r="E88" s="4">
        <v>5.3529999999999998</v>
      </c>
    </row>
    <row r="89" spans="1:5" x14ac:dyDescent="0.25">
      <c r="A89" t="s">
        <v>1388</v>
      </c>
      <c r="B89" s="1" t="str">
        <f>HYPERLINK("http://www.ncbi.nlm.nih.gov/pubmed/?term=Aamp", "Aamp")</f>
        <v>Aamp</v>
      </c>
      <c r="C89" s="13">
        <v>6.8579999999999997</v>
      </c>
      <c r="D89" s="4">
        <v>5.4710000000000001</v>
      </c>
      <c r="E89" s="4">
        <v>5.5590000000000002</v>
      </c>
    </row>
    <row r="90" spans="1:5" x14ac:dyDescent="0.25">
      <c r="A90" t="s">
        <v>68</v>
      </c>
      <c r="B90" s="1" t="str">
        <f>HYPERLINK("http://www.ncbi.nlm.nih.gov/pubmed/?term=Rassf2", "Rassf2")</f>
        <v>Rassf2</v>
      </c>
      <c r="C90" s="13">
        <v>6.8650000000000002</v>
      </c>
      <c r="D90" s="22">
        <v>3.1379999999999999</v>
      </c>
      <c r="E90" s="4">
        <v>5.6230000000000002</v>
      </c>
    </row>
    <row r="91" spans="1:5" x14ac:dyDescent="0.25">
      <c r="A91" t="s">
        <v>256</v>
      </c>
      <c r="B91" s="1" t="str">
        <f>HYPERLINK("http://www.ncbi.nlm.nih.gov/pubmed/?term=Lrpap1", "Lrpap1")</f>
        <v>Lrpap1</v>
      </c>
      <c r="C91" s="13">
        <v>6.6760000000000002</v>
      </c>
      <c r="D91" s="20">
        <v>4.915</v>
      </c>
      <c r="E91" s="20">
        <v>4.4379999999999997</v>
      </c>
    </row>
    <row r="92" spans="1:5" x14ac:dyDescent="0.25">
      <c r="A92" t="s">
        <v>30</v>
      </c>
      <c r="B92" s="1" t="str">
        <f>HYPERLINK("http://www.ncbi.nlm.nih.gov/pubmed/?term=Tubb6", "Tubb6")</f>
        <v>Tubb6</v>
      </c>
      <c r="C92" s="13">
        <v>6.8890000000000002</v>
      </c>
      <c r="D92" s="4">
        <v>5.84</v>
      </c>
      <c r="E92" s="20">
        <v>4.7270000000000003</v>
      </c>
    </row>
    <row r="93" spans="1:5" x14ac:dyDescent="0.25">
      <c r="A93" t="s">
        <v>834</v>
      </c>
      <c r="B93" s="1" t="str">
        <f>HYPERLINK("http://www.ncbi.nlm.nih.gov/pubmed/?term=Nxn", "Nxn")</f>
        <v>Nxn</v>
      </c>
      <c r="C93" s="13">
        <v>6.8310000000000004</v>
      </c>
      <c r="D93" s="4">
        <v>5.601</v>
      </c>
      <c r="E93" s="20">
        <v>4.3620000000000001</v>
      </c>
    </row>
    <row r="94" spans="1:5" x14ac:dyDescent="0.25">
      <c r="A94" t="s">
        <v>17</v>
      </c>
      <c r="B94" s="1" t="str">
        <f>HYPERLINK("http://www.ncbi.nlm.nih.gov/pubmed/?term=Epb4.1l3", "Epb4.1l3")</f>
        <v>Epb4.1l3</v>
      </c>
      <c r="C94" s="13">
        <v>6.88</v>
      </c>
      <c r="D94" s="20">
        <v>4.806</v>
      </c>
      <c r="E94" s="4">
        <v>5.86</v>
      </c>
    </row>
    <row r="95" spans="1:5" x14ac:dyDescent="0.25">
      <c r="A95" t="s">
        <v>337</v>
      </c>
      <c r="B95" s="1" t="str">
        <f>HYPERLINK("http://www.ncbi.nlm.nih.gov/pubmed/?term=Hmg20b", "Hmg20b")</f>
        <v>Hmg20b</v>
      </c>
      <c r="C95" s="13">
        <v>6.7309999999999999</v>
      </c>
      <c r="D95" s="4">
        <v>5.3550000000000004</v>
      </c>
      <c r="E95" s="4">
        <v>5.2430000000000003</v>
      </c>
    </row>
    <row r="96" spans="1:5" x14ac:dyDescent="0.25">
      <c r="A96" t="s">
        <v>707</v>
      </c>
      <c r="B96" s="1" t="str">
        <f>HYPERLINK("http://www.ncbi.nlm.nih.gov/pubmed/?term=P4ha3", "P4ha3")</f>
        <v>P4ha3</v>
      </c>
      <c r="C96" s="4">
        <v>5.9160000000000004</v>
      </c>
      <c r="D96" s="11">
        <v>1.853</v>
      </c>
      <c r="E96" s="12">
        <v>7.4550000000000005E-2</v>
      </c>
    </row>
    <row r="97" spans="1:5" x14ac:dyDescent="0.25">
      <c r="A97" t="s">
        <v>964</v>
      </c>
      <c r="B97" s="1" t="str">
        <f>HYPERLINK("http://www.ncbi.nlm.nih.gov/pubmed/?term=Capn1", "Capn1")</f>
        <v>Capn1</v>
      </c>
      <c r="C97" s="13">
        <v>6.6260000000000003</v>
      </c>
      <c r="D97" s="20">
        <v>4.9619999999999997</v>
      </c>
      <c r="E97" s="20">
        <v>4.5250000000000004</v>
      </c>
    </row>
    <row r="98" spans="1:5" x14ac:dyDescent="0.25">
      <c r="A98" t="s">
        <v>1042</v>
      </c>
      <c r="B98" s="1" t="str">
        <f>HYPERLINK("http://www.ncbi.nlm.nih.gov/pubmed/?term=Ssb", "Ssb")</f>
        <v>Ssb</v>
      </c>
      <c r="C98" s="13">
        <v>6.806</v>
      </c>
      <c r="D98" s="4">
        <v>5.7530000000000001</v>
      </c>
      <c r="E98" s="4">
        <v>5.5659999999999998</v>
      </c>
    </row>
    <row r="99" spans="1:5" x14ac:dyDescent="0.25">
      <c r="A99" t="s">
        <v>1175</v>
      </c>
      <c r="B99" s="1" t="str">
        <f>HYPERLINK("http://www.ncbi.nlm.nih.gov/pubmed/?term=Arid1b", "Arid1b")</f>
        <v>Arid1b</v>
      </c>
      <c r="C99" s="13">
        <v>6.5010000000000003</v>
      </c>
      <c r="D99" s="20">
        <v>4.4489999999999998</v>
      </c>
      <c r="E99" s="20">
        <v>4.1609999999999996</v>
      </c>
    </row>
    <row r="100" spans="1:5" x14ac:dyDescent="0.25">
      <c r="A100" t="s">
        <v>1893</v>
      </c>
      <c r="B100" s="1" t="str">
        <f>HYPERLINK("http://www.ncbi.nlm.nih.gov/pubmed/?term=Srp68", "Srp68")</f>
        <v>Srp68</v>
      </c>
      <c r="C100" s="13">
        <v>6.6239999999999997</v>
      </c>
      <c r="D100" s="20">
        <v>4.7009999999999996</v>
      </c>
      <c r="E100" s="20">
        <v>4.9829999999999997</v>
      </c>
    </row>
    <row r="101" spans="1:5" x14ac:dyDescent="0.25">
      <c r="A101" t="s">
        <v>245</v>
      </c>
      <c r="B101" s="1" t="str">
        <f>HYPERLINK("http://www.ncbi.nlm.nih.gov/pubmed/?term=Mmp2", "Mmp2")</f>
        <v>Mmp2</v>
      </c>
      <c r="C101" s="13">
        <v>6.2309999999999999</v>
      </c>
      <c r="D101" s="22">
        <v>3.367</v>
      </c>
      <c r="E101" s="12">
        <v>-0.86029999999999995</v>
      </c>
    </row>
    <row r="102" spans="1:5" x14ac:dyDescent="0.25">
      <c r="A102" t="s">
        <v>1605</v>
      </c>
      <c r="B102" s="1" t="str">
        <f>HYPERLINK("http://www.ncbi.nlm.nih.gov/pubmed/?term=Wnt4", "Wnt4")</f>
        <v>Wnt4</v>
      </c>
      <c r="C102" s="13">
        <v>6.5250000000000004</v>
      </c>
      <c r="D102" s="20">
        <v>4.6449999999999996</v>
      </c>
      <c r="E102" s="22">
        <v>3.2810000000000001</v>
      </c>
    </row>
    <row r="103" spans="1:5" x14ac:dyDescent="0.25">
      <c r="A103" t="s">
        <v>1636</v>
      </c>
      <c r="B103" s="1" t="str">
        <f>HYPERLINK("http://www.ncbi.nlm.nih.gov/pubmed/?term=Gsta4", "Gsta4")</f>
        <v>Gsta4</v>
      </c>
      <c r="C103" s="13">
        <v>6.5839999999999996</v>
      </c>
      <c r="D103" s="20">
        <v>4.9039999999999999</v>
      </c>
      <c r="E103" s="22">
        <v>3.8519999999999999</v>
      </c>
    </row>
    <row r="104" spans="1:5" x14ac:dyDescent="0.25">
      <c r="A104" t="s">
        <v>1767</v>
      </c>
      <c r="B104" s="1" t="str">
        <f>HYPERLINK("http://www.ncbi.nlm.nih.gov/pubmed/?term=AI314180", "AI314180")</f>
        <v>AI314180</v>
      </c>
      <c r="C104" s="13">
        <v>6.5780000000000003</v>
      </c>
      <c r="D104" s="20">
        <v>4.6440000000000001</v>
      </c>
      <c r="E104" s="20">
        <v>4.8819999999999997</v>
      </c>
    </row>
    <row r="105" spans="1:5" x14ac:dyDescent="0.25">
      <c r="A105" t="s">
        <v>452</v>
      </c>
      <c r="B105" s="1" t="str">
        <f>HYPERLINK("http://www.ncbi.nlm.nih.gov/pubmed/?term=Nav2", "Nav2")</f>
        <v>Nav2</v>
      </c>
      <c r="C105" s="13">
        <v>6.5140000000000002</v>
      </c>
      <c r="D105" s="20">
        <v>4.625</v>
      </c>
      <c r="E105" s="22">
        <v>3.5339999999999998</v>
      </c>
    </row>
    <row r="106" spans="1:5" x14ac:dyDescent="0.25">
      <c r="A106" t="s">
        <v>309</v>
      </c>
      <c r="B106" s="1" t="str">
        <f>HYPERLINK("http://www.ncbi.nlm.nih.gov/pubmed/?term=Oma1", "Oma1")</f>
        <v>Oma1</v>
      </c>
      <c r="C106" s="13">
        <v>6.6310000000000002</v>
      </c>
      <c r="D106" s="3">
        <v>2.7690000000000001</v>
      </c>
      <c r="E106" s="4">
        <v>5.1390000000000002</v>
      </c>
    </row>
    <row r="107" spans="1:5" x14ac:dyDescent="0.25">
      <c r="A107" t="s">
        <v>1303</v>
      </c>
      <c r="B107" s="1" t="str">
        <f>HYPERLINK("http://www.ncbi.nlm.nih.gov/pubmed/?term=Ugdh", "Ugdh")</f>
        <v>Ugdh</v>
      </c>
      <c r="C107" s="13">
        <v>6.4560000000000004</v>
      </c>
      <c r="D107" s="20">
        <v>4.415</v>
      </c>
      <c r="E107" s="20">
        <v>4.0389999999999997</v>
      </c>
    </row>
    <row r="108" spans="1:5" x14ac:dyDescent="0.25">
      <c r="A108" t="s">
        <v>1276</v>
      </c>
      <c r="B108" s="1" t="str">
        <f>HYPERLINK("http://www.ncbi.nlm.nih.gov/pubmed/?term=Rnpepl1", "Rnpepl1")</f>
        <v>Rnpepl1</v>
      </c>
      <c r="C108" s="13">
        <v>6.5659999999999998</v>
      </c>
      <c r="D108" s="20">
        <v>4.9889999999999999</v>
      </c>
      <c r="E108" s="20">
        <v>4.7</v>
      </c>
    </row>
    <row r="109" spans="1:5" x14ac:dyDescent="0.25">
      <c r="A109" t="s">
        <v>1033</v>
      </c>
      <c r="B109" s="1" t="str">
        <f>HYPERLINK("http://www.ncbi.nlm.nih.gov/pubmed/?term=Enpep", "Enpep")</f>
        <v>Enpep</v>
      </c>
      <c r="C109" s="4">
        <v>5.3979999999999997</v>
      </c>
      <c r="D109" s="12">
        <v>-0.78720000000000001</v>
      </c>
      <c r="E109" s="12">
        <v>-0.33100000000000002</v>
      </c>
    </row>
    <row r="110" spans="1:5" x14ac:dyDescent="0.25">
      <c r="A110" t="s">
        <v>1314</v>
      </c>
      <c r="B110" s="1" t="str">
        <f>HYPERLINK("http://www.ncbi.nlm.nih.gov/pubmed/?term=Cds1", "Cds1")</f>
        <v>Cds1</v>
      </c>
      <c r="C110" s="13">
        <v>6.2089999999999996</v>
      </c>
      <c r="D110" s="22">
        <v>3.5459999999999998</v>
      </c>
      <c r="E110" s="3">
        <v>2.4239999999999999</v>
      </c>
    </row>
    <row r="111" spans="1:5" x14ac:dyDescent="0.25">
      <c r="A111" t="s">
        <v>389</v>
      </c>
      <c r="B111" s="1" t="str">
        <f>HYPERLINK("http://www.ncbi.nlm.nih.gov/pubmed/?term=Rcbtb2", "Rcbtb2")</f>
        <v>Rcbtb2</v>
      </c>
      <c r="C111" s="13">
        <v>6.5990000000000002</v>
      </c>
      <c r="D111" s="4">
        <v>5.2690000000000001</v>
      </c>
      <c r="E111" s="20">
        <v>4.6559999999999997</v>
      </c>
    </row>
    <row r="112" spans="1:5" x14ac:dyDescent="0.25">
      <c r="A112" t="s">
        <v>233</v>
      </c>
      <c r="B112" s="1" t="str">
        <f>HYPERLINK("http://www.ncbi.nlm.nih.gov/pubmed/?term=Hadh", "Hadh")</f>
        <v>Hadh</v>
      </c>
      <c r="C112" s="13">
        <v>6.6139999999999999</v>
      </c>
      <c r="D112" s="4">
        <v>5.085</v>
      </c>
      <c r="E112" s="4">
        <v>5.38</v>
      </c>
    </row>
    <row r="113" spans="1:5" x14ac:dyDescent="0.25">
      <c r="A113" t="s">
        <v>1152</v>
      </c>
      <c r="B113" s="1" t="str">
        <f>HYPERLINK("http://www.ncbi.nlm.nih.gov/pubmed/?term=Ier3", "Ier3")</f>
        <v>Ier3</v>
      </c>
      <c r="C113" s="13">
        <v>6.2880000000000003</v>
      </c>
      <c r="D113" s="20">
        <v>4.0449999999999999</v>
      </c>
      <c r="E113" s="3">
        <v>2.5920000000000001</v>
      </c>
    </row>
    <row r="114" spans="1:5" x14ac:dyDescent="0.25">
      <c r="A114" t="s">
        <v>1053</v>
      </c>
      <c r="B114" s="1" t="str">
        <f>HYPERLINK("http://www.ncbi.nlm.nih.gov/pubmed/?term=Map2k1", "Map2k1")</f>
        <v>Map2k1</v>
      </c>
      <c r="C114" s="13">
        <v>6.5579999999999998</v>
      </c>
      <c r="D114" s="20">
        <v>4.7640000000000002</v>
      </c>
      <c r="E114" s="4">
        <v>5.4039999999999999</v>
      </c>
    </row>
    <row r="115" spans="1:5" x14ac:dyDescent="0.25">
      <c r="A115" t="s">
        <v>2066</v>
      </c>
      <c r="B115" s="1" t="str">
        <f>HYPERLINK("http://www.ncbi.nlm.nih.gov/pubmed/?term=Psmc1", "Psmc1")</f>
        <v>Psmc1</v>
      </c>
      <c r="C115" s="13">
        <v>6.5910000000000002</v>
      </c>
      <c r="D115" s="4">
        <v>5.5590000000000002</v>
      </c>
      <c r="E115" s="4">
        <v>5.4420000000000002</v>
      </c>
    </row>
    <row r="116" spans="1:5" x14ac:dyDescent="0.25">
      <c r="A116" t="s">
        <v>1076</v>
      </c>
      <c r="B116" s="1" t="str">
        <f>HYPERLINK("http://www.ncbi.nlm.nih.gov/pubmed/?term=Mrpl3", "Mrpl3")</f>
        <v>Mrpl3</v>
      </c>
      <c r="C116" s="13">
        <v>6.2880000000000003</v>
      </c>
      <c r="D116" s="20">
        <v>4.2519999999999998</v>
      </c>
      <c r="E116" s="20">
        <v>4.09</v>
      </c>
    </row>
    <row r="117" spans="1:5" x14ac:dyDescent="0.25">
      <c r="A117" t="s">
        <v>603</v>
      </c>
      <c r="B117" s="1" t="str">
        <f>HYPERLINK("http://www.ncbi.nlm.nih.gov/pubmed/?term=Dsc3", "Dsc3")</f>
        <v>Dsc3</v>
      </c>
      <c r="C117" s="13">
        <v>6.5250000000000004</v>
      </c>
      <c r="D117" s="4">
        <v>5.2779999999999996</v>
      </c>
      <c r="E117" s="22">
        <v>3.7549999999999999</v>
      </c>
    </row>
    <row r="118" spans="1:5" x14ac:dyDescent="0.25">
      <c r="A118" t="s">
        <v>1915</v>
      </c>
      <c r="B118" s="1" t="str">
        <f>HYPERLINK("http://www.ncbi.nlm.nih.gov/pubmed/?term=Cth", "Cth")</f>
        <v>Cth</v>
      </c>
      <c r="C118" s="4">
        <v>5.5650000000000004</v>
      </c>
      <c r="D118" s="12">
        <v>-1.1339999999999999</v>
      </c>
      <c r="E118" s="11">
        <v>1.149</v>
      </c>
    </row>
    <row r="119" spans="1:5" x14ac:dyDescent="0.25">
      <c r="A119" t="s">
        <v>1683</v>
      </c>
      <c r="B119" s="1" t="str">
        <f>HYPERLINK("http://www.ncbi.nlm.nih.gov/pubmed/?term=Kcnk2", "Kcnk2")</f>
        <v>Kcnk2</v>
      </c>
      <c r="C119" s="4">
        <v>5.6070000000000002</v>
      </c>
      <c r="D119" s="11">
        <v>1.3480000000000001</v>
      </c>
      <c r="E119" s="12">
        <v>-0.95120000000000005</v>
      </c>
    </row>
    <row r="120" spans="1:5" x14ac:dyDescent="0.25">
      <c r="A120" t="s">
        <v>1283</v>
      </c>
      <c r="B120" s="1" t="str">
        <f>HYPERLINK("http://www.ncbi.nlm.nih.gov/pubmed/?term=Ank3", "Ank3")</f>
        <v>Ank3</v>
      </c>
      <c r="C120" s="13">
        <v>6.3070000000000004</v>
      </c>
      <c r="D120" s="20">
        <v>4.3959999999999999</v>
      </c>
      <c r="E120" s="22">
        <v>3.6949999999999998</v>
      </c>
    </row>
    <row r="121" spans="1:5" x14ac:dyDescent="0.25">
      <c r="A121" t="s">
        <v>379</v>
      </c>
      <c r="B121" s="1" t="str">
        <f>HYPERLINK("http://www.ncbi.nlm.nih.gov/pubmed/?term=Scarf2", "Scarf2")</f>
        <v>Scarf2</v>
      </c>
      <c r="C121" s="4">
        <v>5.8109999999999999</v>
      </c>
      <c r="D121" s="3">
        <v>2.262</v>
      </c>
      <c r="E121" s="12">
        <v>-1.877</v>
      </c>
    </row>
    <row r="122" spans="1:5" x14ac:dyDescent="0.25">
      <c r="A122" t="s">
        <v>1890</v>
      </c>
      <c r="B122" s="1" t="str">
        <f>HYPERLINK("http://www.ncbi.nlm.nih.gov/pubmed/?term=Tinagl1", "Tinagl1")</f>
        <v>Tinagl1</v>
      </c>
      <c r="C122" s="13">
        <v>6.1589999999999998</v>
      </c>
      <c r="D122" s="22">
        <v>3.52</v>
      </c>
      <c r="E122" s="22">
        <v>3.7890000000000001</v>
      </c>
    </row>
    <row r="123" spans="1:5" x14ac:dyDescent="0.25">
      <c r="A123" t="s">
        <v>1645</v>
      </c>
      <c r="B123" s="1" t="str">
        <f>HYPERLINK("http://www.ncbi.nlm.nih.gov/pubmed/?term=Cetn3", "Cetn3")</f>
        <v>Cetn3</v>
      </c>
      <c r="C123" s="13">
        <v>6.5369999999999999</v>
      </c>
      <c r="D123" s="4">
        <v>5.15</v>
      </c>
      <c r="E123" s="4">
        <v>5.4370000000000003</v>
      </c>
    </row>
    <row r="124" spans="1:5" x14ac:dyDescent="0.25">
      <c r="A124" t="s">
        <v>243</v>
      </c>
      <c r="B124" s="1" t="str">
        <f>HYPERLINK("http://www.ncbi.nlm.nih.gov/pubmed/?term=Scnn1a", "Scnn1a")</f>
        <v>Scnn1a</v>
      </c>
      <c r="C124" s="13">
        <v>6.18</v>
      </c>
      <c r="D124" s="22">
        <v>3.9060000000000001</v>
      </c>
      <c r="E124" s="22">
        <v>3.4340000000000002</v>
      </c>
    </row>
    <row r="125" spans="1:5" x14ac:dyDescent="0.25">
      <c r="A125" t="s">
        <v>100</v>
      </c>
      <c r="B125" s="1" t="str">
        <f>HYPERLINK("http://www.ncbi.nlm.nih.gov/pubmed/?term=Nefm", "Nefm")</f>
        <v>Nefm</v>
      </c>
      <c r="C125" s="4">
        <v>5.367</v>
      </c>
      <c r="D125" s="12">
        <v>-1.379</v>
      </c>
      <c r="E125" s="12">
        <v>0.42180000000000001</v>
      </c>
    </row>
    <row r="126" spans="1:5" x14ac:dyDescent="0.25">
      <c r="A126" t="s">
        <v>911</v>
      </c>
      <c r="B126" s="1" t="str">
        <f>HYPERLINK("http://www.ncbi.nlm.nih.gov/pubmed/?term=Ablim1", "Ablim1")</f>
        <v>Ablim1</v>
      </c>
      <c r="C126" s="13">
        <v>6.5449999999999999</v>
      </c>
      <c r="D126" s="4">
        <v>5.282</v>
      </c>
      <c r="E126" s="4">
        <v>5.5140000000000002</v>
      </c>
    </row>
    <row r="127" spans="1:5" x14ac:dyDescent="0.25">
      <c r="A127" t="s">
        <v>1874</v>
      </c>
      <c r="B127" s="1" t="str">
        <f>HYPERLINK("http://www.ncbi.nlm.nih.gov/pubmed/?term=Ociad2", "Ociad2")</f>
        <v>Ociad2</v>
      </c>
      <c r="C127" s="13">
        <v>6.4470000000000001</v>
      </c>
      <c r="D127" s="4">
        <v>5.133</v>
      </c>
      <c r="E127" s="22">
        <v>3.036</v>
      </c>
    </row>
    <row r="128" spans="1:5" x14ac:dyDescent="0.25">
      <c r="A128" t="s">
        <v>50</v>
      </c>
      <c r="B128" s="1" t="str">
        <f>HYPERLINK("http://www.ncbi.nlm.nih.gov/pubmed/?term=Gmpr", "Gmpr")</f>
        <v>Gmpr</v>
      </c>
      <c r="C128" s="13">
        <v>6.4669999999999996</v>
      </c>
      <c r="D128" s="4">
        <v>5.2229999999999999</v>
      </c>
      <c r="E128" s="3">
        <v>2.8069999999999999</v>
      </c>
    </row>
    <row r="129" spans="1:5" x14ac:dyDescent="0.25">
      <c r="A129" t="s">
        <v>1689</v>
      </c>
      <c r="B129" s="1" t="str">
        <f>HYPERLINK("http://www.ncbi.nlm.nih.gov/pubmed/?term=Nfix", "Nfix")</f>
        <v>Nfix</v>
      </c>
      <c r="C129" s="13">
        <v>6.452</v>
      </c>
      <c r="D129" s="4">
        <v>5.2210000000000001</v>
      </c>
      <c r="E129" s="20">
        <v>4.3419999999999996</v>
      </c>
    </row>
    <row r="130" spans="1:5" x14ac:dyDescent="0.25">
      <c r="A130" t="s">
        <v>217</v>
      </c>
      <c r="B130" s="1" t="str">
        <f>HYPERLINK("http://www.ncbi.nlm.nih.gov/pubmed/?term=Pygb", "Pygb")</f>
        <v>Pygb</v>
      </c>
      <c r="C130" s="13">
        <v>6.2480000000000002</v>
      </c>
      <c r="D130" s="20">
        <v>4.3440000000000003</v>
      </c>
      <c r="E130" s="22">
        <v>3.1989999999999998</v>
      </c>
    </row>
    <row r="131" spans="1:5" x14ac:dyDescent="0.25">
      <c r="A131" t="s">
        <v>829</v>
      </c>
      <c r="B131" s="1" t="str">
        <f>HYPERLINK("http://www.ncbi.nlm.nih.gov/pubmed/?term=Psmd1", "Psmd1")</f>
        <v>Psmd1</v>
      </c>
      <c r="C131" s="13">
        <v>6.444</v>
      </c>
      <c r="D131" s="4">
        <v>5.2119999999999997</v>
      </c>
      <c r="E131" s="4">
        <v>5.1109999999999998</v>
      </c>
    </row>
    <row r="132" spans="1:5" x14ac:dyDescent="0.25">
      <c r="A132" t="s">
        <v>2017</v>
      </c>
      <c r="B132" s="1" t="str">
        <f>HYPERLINK("http://www.ncbi.nlm.nih.gov/pubmed/?term=Hey1", "Hey1")</f>
        <v>Hey1</v>
      </c>
      <c r="C132" s="13">
        <v>6.21</v>
      </c>
      <c r="D132" s="20">
        <v>4.2069999999999999</v>
      </c>
      <c r="E132" s="11">
        <v>1.6120000000000001</v>
      </c>
    </row>
    <row r="133" spans="1:5" x14ac:dyDescent="0.25">
      <c r="A133" t="s">
        <v>978</v>
      </c>
      <c r="B133" s="1" t="str">
        <f>HYPERLINK("http://www.ncbi.nlm.nih.gov/pubmed/?term=Synm", "Synm")</f>
        <v>Synm</v>
      </c>
      <c r="C133" s="13">
        <v>6.01</v>
      </c>
      <c r="D133" s="22">
        <v>3.3719999999999999</v>
      </c>
      <c r="E133" s="11">
        <v>1.0609999999999999</v>
      </c>
    </row>
    <row r="134" spans="1:5" x14ac:dyDescent="0.25">
      <c r="A134" t="s">
        <v>1975</v>
      </c>
      <c r="B134" s="1" t="str">
        <f>HYPERLINK("http://www.ncbi.nlm.nih.gov/pubmed/?term=Pitpnb", "Pitpnb")</f>
        <v>Pitpnb</v>
      </c>
      <c r="C134" s="13">
        <v>6.2859999999999996</v>
      </c>
      <c r="D134" s="20">
        <v>4.4800000000000004</v>
      </c>
      <c r="E134" s="20">
        <v>4.5960000000000001</v>
      </c>
    </row>
    <row r="135" spans="1:5" x14ac:dyDescent="0.25">
      <c r="A135" t="s">
        <v>1739</v>
      </c>
      <c r="B135" s="1" t="str">
        <f>HYPERLINK("http://www.ncbi.nlm.nih.gov/pubmed/?term=Pepd", "Pepd")</f>
        <v>Pepd</v>
      </c>
      <c r="C135" s="13">
        <v>6.4589999999999996</v>
      </c>
      <c r="D135" s="22">
        <v>3.944</v>
      </c>
      <c r="E135" s="4">
        <v>5.3490000000000002</v>
      </c>
    </row>
    <row r="136" spans="1:5" x14ac:dyDescent="0.25">
      <c r="A136" t="s">
        <v>334</v>
      </c>
      <c r="B136" s="1" t="str">
        <f>HYPERLINK("http://www.ncbi.nlm.nih.gov/pubmed/?term=Tulp3", "Tulp3")</f>
        <v>Tulp3</v>
      </c>
      <c r="C136" s="13">
        <v>6.2489999999999997</v>
      </c>
      <c r="D136" s="20">
        <v>4.49</v>
      </c>
      <c r="E136" s="22">
        <v>3.7959999999999998</v>
      </c>
    </row>
    <row r="137" spans="1:5" x14ac:dyDescent="0.25">
      <c r="A137" t="s">
        <v>393</v>
      </c>
      <c r="B137" s="1" t="str">
        <f>HYPERLINK("http://www.ncbi.nlm.nih.gov/pubmed/?term=Tspan9", "Tspan9")</f>
        <v>Tspan9</v>
      </c>
      <c r="C137" s="4">
        <v>5.8449999999999998</v>
      </c>
      <c r="D137" s="3">
        <v>2.7610000000000001</v>
      </c>
      <c r="E137" s="12">
        <v>-0.25700000000000001</v>
      </c>
    </row>
    <row r="138" spans="1:5" x14ac:dyDescent="0.25">
      <c r="A138" t="s">
        <v>1493</v>
      </c>
      <c r="B138" s="1" t="str">
        <f>HYPERLINK("http://www.ncbi.nlm.nih.gov/pubmed/?term=Xbp1", "Xbp1")</f>
        <v>Xbp1</v>
      </c>
      <c r="C138" s="13">
        <v>6.4610000000000003</v>
      </c>
      <c r="D138" s="4">
        <v>5.43</v>
      </c>
      <c r="E138" s="4">
        <v>5.1449999999999996</v>
      </c>
    </row>
    <row r="139" spans="1:5" x14ac:dyDescent="0.25">
      <c r="A139" t="s">
        <v>1805</v>
      </c>
      <c r="B139" s="1" t="str">
        <f>HYPERLINK("http://www.ncbi.nlm.nih.gov/pubmed/?term=Psmc6", "Psmc6")</f>
        <v>Psmc6</v>
      </c>
      <c r="C139" s="13">
        <v>6.3810000000000002</v>
      </c>
      <c r="D139" s="4">
        <v>5.109</v>
      </c>
      <c r="E139" s="20">
        <v>4.835</v>
      </c>
    </row>
    <row r="140" spans="1:5" x14ac:dyDescent="0.25">
      <c r="A140" t="s">
        <v>1115</v>
      </c>
      <c r="B140" s="1" t="str">
        <f>HYPERLINK("http://www.ncbi.nlm.nih.gov/pubmed/?term=Hadhb", "Hadhb")</f>
        <v>Hadhb</v>
      </c>
      <c r="C140" s="13">
        <v>6.3710000000000004</v>
      </c>
      <c r="D140" s="20">
        <v>4.9260000000000002</v>
      </c>
      <c r="E140" s="4">
        <v>5.069</v>
      </c>
    </row>
    <row r="141" spans="1:5" x14ac:dyDescent="0.25">
      <c r="A141" t="s">
        <v>1265</v>
      </c>
      <c r="B141" s="1" t="str">
        <f>HYPERLINK("http://www.ncbi.nlm.nih.gov/pubmed/?term=Sord", "Sord")</f>
        <v>Sord</v>
      </c>
      <c r="C141" s="4">
        <v>5.8970000000000002</v>
      </c>
      <c r="D141" s="22">
        <v>3.0569999999999999</v>
      </c>
      <c r="E141" s="11">
        <v>1.5720000000000001</v>
      </c>
    </row>
    <row r="142" spans="1:5" x14ac:dyDescent="0.25">
      <c r="A142" t="s">
        <v>1336</v>
      </c>
      <c r="B142" s="1" t="str">
        <f>HYPERLINK("http://www.ncbi.nlm.nih.gov/pubmed/?term=Psip1", "Psip1")</f>
        <v>Psip1</v>
      </c>
      <c r="C142" s="13">
        <v>6.3659999999999997</v>
      </c>
      <c r="D142" s="4">
        <v>5.0869999999999997</v>
      </c>
      <c r="E142" s="20">
        <v>4.9640000000000004</v>
      </c>
    </row>
    <row r="143" spans="1:5" x14ac:dyDescent="0.25">
      <c r="A143" t="s">
        <v>935</v>
      </c>
      <c r="B143" s="1" t="str">
        <f>HYPERLINK("http://www.ncbi.nlm.nih.gov/pubmed/?term=Ppa1", "Ppa1")</f>
        <v>Ppa1</v>
      </c>
      <c r="C143" s="13">
        <v>6.3079999999999998</v>
      </c>
      <c r="D143" s="20">
        <v>4.8380000000000001</v>
      </c>
      <c r="E143" s="20">
        <v>4.556</v>
      </c>
    </row>
    <row r="144" spans="1:5" x14ac:dyDescent="0.25">
      <c r="A144" t="s">
        <v>592</v>
      </c>
      <c r="B144" s="1" t="str">
        <f>HYPERLINK("http://www.ncbi.nlm.nih.gov/pubmed/?term=Zfyve21", "Zfyve21")</f>
        <v>Zfyve21</v>
      </c>
      <c r="C144" s="13">
        <v>6.03</v>
      </c>
      <c r="D144" s="22">
        <v>3.0329999999999999</v>
      </c>
      <c r="E144" s="22">
        <v>3.6909999999999998</v>
      </c>
    </row>
    <row r="145" spans="1:5" x14ac:dyDescent="0.25">
      <c r="A145" t="s">
        <v>945</v>
      </c>
      <c r="B145" s="1" t="str">
        <f>HYPERLINK("http://www.ncbi.nlm.nih.gov/pubmed/?term=Hspb8", "Hspb8")</f>
        <v>Hspb8</v>
      </c>
      <c r="C145" s="13">
        <v>6.1879999999999997</v>
      </c>
      <c r="D145" s="20">
        <v>4.4180000000000001</v>
      </c>
      <c r="E145" s="20">
        <v>4.1550000000000002</v>
      </c>
    </row>
    <row r="146" spans="1:5" x14ac:dyDescent="0.25">
      <c r="A146" t="s">
        <v>1132</v>
      </c>
      <c r="B146" s="1" t="str">
        <f>HYPERLINK("http://www.ncbi.nlm.nih.gov/pubmed/?term=Snx6", "Snx6")</f>
        <v>Snx6</v>
      </c>
      <c r="C146" s="13">
        <v>6.2690000000000001</v>
      </c>
      <c r="D146" s="20">
        <v>4.798</v>
      </c>
      <c r="E146" s="20">
        <v>4.4160000000000004</v>
      </c>
    </row>
    <row r="147" spans="1:5" x14ac:dyDescent="0.25">
      <c r="A147" t="s">
        <v>303</v>
      </c>
      <c r="B147" s="1" t="str">
        <f>HYPERLINK("http://www.ncbi.nlm.nih.gov/pubmed/?term=Eid1", "Eid1")</f>
        <v>Eid1</v>
      </c>
      <c r="C147" s="13">
        <v>6.2939999999999996</v>
      </c>
      <c r="D147" s="20">
        <v>4.9729999999999999</v>
      </c>
      <c r="E147" s="20">
        <v>4.524</v>
      </c>
    </row>
    <row r="148" spans="1:5" x14ac:dyDescent="0.25">
      <c r="A148" t="s">
        <v>1944</v>
      </c>
      <c r="B148" s="1" t="str">
        <f>HYPERLINK("http://www.ncbi.nlm.nih.gov/pubmed/?term=Rab11fip4", "Rab11fip4")</f>
        <v>Rab11fip4</v>
      </c>
      <c r="C148" s="13">
        <v>6.2510000000000003</v>
      </c>
      <c r="D148" s="20">
        <v>4.5289999999999999</v>
      </c>
      <c r="E148" s="20">
        <v>4.8040000000000003</v>
      </c>
    </row>
    <row r="149" spans="1:5" x14ac:dyDescent="0.25">
      <c r="A149" t="s">
        <v>1880</v>
      </c>
      <c r="B149" s="1" t="str">
        <f>HYPERLINK("http://www.ncbi.nlm.nih.gov/pubmed/?term=Ccdc6", "Ccdc6")</f>
        <v>Ccdc6</v>
      </c>
      <c r="C149" s="13">
        <v>6.1029999999999998</v>
      </c>
      <c r="D149" s="20">
        <v>4.2329999999999997</v>
      </c>
      <c r="E149" s="22">
        <v>3.8620000000000001</v>
      </c>
    </row>
    <row r="150" spans="1:5" x14ac:dyDescent="0.25">
      <c r="A150" t="s">
        <v>1302</v>
      </c>
      <c r="B150" s="1" t="str">
        <f>HYPERLINK("http://www.ncbi.nlm.nih.gov/pubmed/?term=Glrx3", "Glrx3")</f>
        <v>Glrx3</v>
      </c>
      <c r="C150" s="13">
        <v>6.3029999999999999</v>
      </c>
      <c r="D150" s="4">
        <v>5.12</v>
      </c>
      <c r="E150" s="20">
        <v>4.9130000000000003</v>
      </c>
    </row>
    <row r="151" spans="1:5" x14ac:dyDescent="0.25">
      <c r="A151" t="s">
        <v>1945</v>
      </c>
      <c r="B151" s="1" t="str">
        <f>HYPERLINK("http://www.ncbi.nlm.nih.gov/pubmed/?term=Jag2", "Jag2")</f>
        <v>Jag2</v>
      </c>
      <c r="C151" s="13">
        <v>6.2869999999999999</v>
      </c>
      <c r="D151" s="4">
        <v>5.0540000000000003</v>
      </c>
      <c r="E151" s="3">
        <v>2.9039999999999999</v>
      </c>
    </row>
    <row r="152" spans="1:5" x14ac:dyDescent="0.25">
      <c r="A152" t="s">
        <v>1527</v>
      </c>
      <c r="B152" s="1" t="str">
        <f>HYPERLINK("http://www.ncbi.nlm.nih.gov/pubmed/?term=Sept7", "Sept7")</f>
        <v>Sept7</v>
      </c>
      <c r="C152" s="13">
        <v>6.3179999999999996</v>
      </c>
      <c r="D152" s="4">
        <v>5.2140000000000004</v>
      </c>
      <c r="E152" s="20">
        <v>4.8769999999999998</v>
      </c>
    </row>
    <row r="153" spans="1:5" x14ac:dyDescent="0.25">
      <c r="A153" t="s">
        <v>765</v>
      </c>
      <c r="B153" s="1" t="str">
        <f>HYPERLINK("http://www.ncbi.nlm.nih.gov/pubmed/?term=Psmd6", "Psmd6")</f>
        <v>Psmd6</v>
      </c>
      <c r="C153" s="13">
        <v>6.34</v>
      </c>
      <c r="D153" s="4">
        <v>5.3230000000000004</v>
      </c>
      <c r="E153" s="4">
        <v>5.1449999999999996</v>
      </c>
    </row>
    <row r="154" spans="1:5" x14ac:dyDescent="0.25">
      <c r="A154" t="s">
        <v>1968</v>
      </c>
      <c r="B154" s="1" t="str">
        <f>HYPERLINK("http://www.ncbi.nlm.nih.gov/pubmed/?term=Cdk20", "Cdk20")</f>
        <v>Cdk20</v>
      </c>
      <c r="C154" s="4">
        <v>5.8140000000000001</v>
      </c>
      <c r="D154" s="22">
        <v>3.0609999999999999</v>
      </c>
      <c r="E154" s="12">
        <v>0.73219999999999996</v>
      </c>
    </row>
    <row r="155" spans="1:5" x14ac:dyDescent="0.25">
      <c r="A155" t="s">
        <v>1021</v>
      </c>
      <c r="B155" s="1" t="str">
        <f>HYPERLINK("http://www.ncbi.nlm.nih.gov/pubmed/?term=Npl", "Npl")</f>
        <v>Npl</v>
      </c>
      <c r="C155" s="4">
        <v>5.4059999999999997</v>
      </c>
      <c r="D155" s="11">
        <v>1.097</v>
      </c>
      <c r="E155" s="11">
        <v>1.3009999999999999</v>
      </c>
    </row>
    <row r="156" spans="1:5" x14ac:dyDescent="0.25">
      <c r="A156" t="s">
        <v>756</v>
      </c>
      <c r="B156" s="1" t="str">
        <f>HYPERLINK("http://www.ncbi.nlm.nih.gov/pubmed/?term=G3bp2", "G3bp2")</f>
        <v>G3bp2</v>
      </c>
      <c r="C156" s="13">
        <v>6.327</v>
      </c>
      <c r="D156" s="4">
        <v>5.2910000000000004</v>
      </c>
      <c r="E156" s="20">
        <v>4.71</v>
      </c>
    </row>
    <row r="157" spans="1:5" x14ac:dyDescent="0.25">
      <c r="A157" t="s">
        <v>777</v>
      </c>
      <c r="B157" s="1" t="str">
        <f>HYPERLINK("http://www.ncbi.nlm.nih.gov/pubmed/?term=Zswim1", "Zswim1")</f>
        <v>Zswim1</v>
      </c>
      <c r="C157" s="4">
        <v>5.5620000000000003</v>
      </c>
      <c r="D157" s="11">
        <v>1.9950000000000001</v>
      </c>
      <c r="E157" s="11">
        <v>1.845</v>
      </c>
    </row>
    <row r="158" spans="1:5" x14ac:dyDescent="0.25">
      <c r="A158" t="s">
        <v>66</v>
      </c>
      <c r="B158" s="1" t="str">
        <f>HYPERLINK("http://www.ncbi.nlm.nih.gov/pubmed/?term=Ppic", "Ppic")</f>
        <v>Ppic</v>
      </c>
      <c r="C158" s="4">
        <v>5.9880000000000004</v>
      </c>
      <c r="D158" s="22">
        <v>3.8580000000000001</v>
      </c>
      <c r="E158" s="3">
        <v>2.351</v>
      </c>
    </row>
    <row r="159" spans="1:5" x14ac:dyDescent="0.25">
      <c r="A159" t="s">
        <v>410</v>
      </c>
      <c r="B159" s="1" t="str">
        <f>HYPERLINK("http://www.ncbi.nlm.nih.gov/pubmed/?term=Dynlt3", "Dynlt3")</f>
        <v>Dynlt3</v>
      </c>
      <c r="C159" s="13">
        <v>6.258</v>
      </c>
      <c r="D159" s="4">
        <v>5.0369999999999999</v>
      </c>
      <c r="E159" s="20">
        <v>4.4400000000000004</v>
      </c>
    </row>
    <row r="160" spans="1:5" x14ac:dyDescent="0.25">
      <c r="A160" t="s">
        <v>1998</v>
      </c>
      <c r="B160" s="1" t="str">
        <f>HYPERLINK("http://www.ncbi.nlm.nih.gov/pubmed/?term=Pdcd5", "Pdcd5")</f>
        <v>Pdcd5</v>
      </c>
      <c r="C160" s="13">
        <v>6.2850000000000001</v>
      </c>
      <c r="D160" s="4">
        <v>5.1719999999999997</v>
      </c>
      <c r="E160" s="20">
        <v>4.6840000000000002</v>
      </c>
    </row>
    <row r="161" spans="1:5" x14ac:dyDescent="0.25">
      <c r="A161" t="s">
        <v>614</v>
      </c>
      <c r="B161" s="1" t="str">
        <f>HYPERLINK("http://www.ncbi.nlm.nih.gov/pubmed/?term=Amotl1", "Amotl1")</f>
        <v>Amotl1</v>
      </c>
      <c r="C161" s="13">
        <v>6.1970000000000001</v>
      </c>
      <c r="D161" s="20">
        <v>4.798</v>
      </c>
      <c r="E161" s="22">
        <v>3.0950000000000002</v>
      </c>
    </row>
    <row r="162" spans="1:5" x14ac:dyDescent="0.25">
      <c r="A162" t="s">
        <v>1587</v>
      </c>
      <c r="B162" s="1" t="str">
        <f>HYPERLINK("http://www.ncbi.nlm.nih.gov/pubmed/?term=Dhrs3", "Dhrs3")</f>
        <v>Dhrs3</v>
      </c>
      <c r="C162" s="13">
        <v>6.1369999999999996</v>
      </c>
      <c r="D162" s="20">
        <v>4.5789999999999997</v>
      </c>
      <c r="E162" s="20">
        <v>4.0179999999999998</v>
      </c>
    </row>
    <row r="163" spans="1:5" x14ac:dyDescent="0.25">
      <c r="A163" t="s">
        <v>688</v>
      </c>
      <c r="B163" s="1" t="str">
        <f>HYPERLINK("http://www.ncbi.nlm.nih.gov/pubmed/?term=Fxyd2", "Fxyd2")</f>
        <v>Fxyd2</v>
      </c>
      <c r="C163" s="13">
        <v>6.2549999999999999</v>
      </c>
      <c r="D163" s="22">
        <v>3.4340000000000002</v>
      </c>
      <c r="E163" s="4">
        <v>5.0910000000000002</v>
      </c>
    </row>
    <row r="164" spans="1:5" x14ac:dyDescent="0.25">
      <c r="A164" t="s">
        <v>1206</v>
      </c>
      <c r="B164" s="1" t="str">
        <f>HYPERLINK("http://www.ncbi.nlm.nih.gov/pubmed/?term=Sfxn1", "Sfxn1")</f>
        <v>Sfxn1</v>
      </c>
      <c r="C164" s="4">
        <v>5.7460000000000004</v>
      </c>
      <c r="D164" s="3">
        <v>2.9209999999999998</v>
      </c>
      <c r="E164" s="3">
        <v>2.7730000000000001</v>
      </c>
    </row>
    <row r="165" spans="1:5" x14ac:dyDescent="0.25">
      <c r="A165" t="s">
        <v>620</v>
      </c>
      <c r="B165" s="1" t="str">
        <f>HYPERLINK("http://www.ncbi.nlm.nih.gov/pubmed/?term=Col18a1", "Col18a1")</f>
        <v>Col18a1</v>
      </c>
      <c r="C165" s="13">
        <v>6.2770000000000001</v>
      </c>
      <c r="D165" s="4">
        <v>5.218</v>
      </c>
      <c r="E165" s="3">
        <v>2.89</v>
      </c>
    </row>
    <row r="166" spans="1:5" x14ac:dyDescent="0.25">
      <c r="A166" t="s">
        <v>1457</v>
      </c>
      <c r="B166" s="1" t="str">
        <f>HYPERLINK("http://www.ncbi.nlm.nih.gov/pubmed/?term=Pitrm1", "Pitrm1")</f>
        <v>Pitrm1</v>
      </c>
      <c r="C166" s="4">
        <v>5.944</v>
      </c>
      <c r="D166" s="22">
        <v>3.827</v>
      </c>
      <c r="E166" s="22">
        <v>3.6760000000000002</v>
      </c>
    </row>
    <row r="167" spans="1:5" x14ac:dyDescent="0.25">
      <c r="A167" t="s">
        <v>360</v>
      </c>
      <c r="B167" s="1" t="str">
        <f>HYPERLINK("http://www.ncbi.nlm.nih.gov/pubmed/?term=Me2", "Me2")</f>
        <v>Me2</v>
      </c>
      <c r="C167" s="13">
        <v>6.18</v>
      </c>
      <c r="D167" s="20">
        <v>4.8550000000000004</v>
      </c>
      <c r="E167" s="22">
        <v>3.4449999999999998</v>
      </c>
    </row>
    <row r="168" spans="1:5" x14ac:dyDescent="0.25">
      <c r="A168" t="s">
        <v>1792</v>
      </c>
      <c r="B168" s="1" t="str">
        <f>HYPERLINK("http://www.ncbi.nlm.nih.gov/pubmed/?term=Ykt6", "Ykt6")</f>
        <v>Ykt6</v>
      </c>
      <c r="C168" s="13">
        <v>6.1879999999999997</v>
      </c>
      <c r="D168" s="20">
        <v>4.8920000000000003</v>
      </c>
      <c r="E168" s="20">
        <v>4.7169999999999996</v>
      </c>
    </row>
    <row r="169" spans="1:5" x14ac:dyDescent="0.25">
      <c r="A169" t="s">
        <v>469</v>
      </c>
      <c r="B169" s="1" t="str">
        <f>HYPERLINK("http://www.ncbi.nlm.nih.gov/pubmed/?term=Psmd12", "Psmd12")</f>
        <v>Psmd12</v>
      </c>
      <c r="C169" s="13">
        <v>6.1769999999999996</v>
      </c>
      <c r="D169" s="20">
        <v>4.8540000000000001</v>
      </c>
      <c r="E169" s="20">
        <v>4.8220000000000001</v>
      </c>
    </row>
    <row r="170" spans="1:5" x14ac:dyDescent="0.25">
      <c r="A170" t="s">
        <v>1272</v>
      </c>
      <c r="B170" s="1" t="str">
        <f>HYPERLINK("http://www.ncbi.nlm.nih.gov/pubmed/?term=Palld", "Palld")</f>
        <v>Palld</v>
      </c>
      <c r="C170" s="13">
        <v>6.2649999999999997</v>
      </c>
      <c r="D170" s="4">
        <v>5.25</v>
      </c>
      <c r="E170" s="22">
        <v>3.488</v>
      </c>
    </row>
    <row r="171" spans="1:5" x14ac:dyDescent="0.25">
      <c r="A171" t="s">
        <v>91</v>
      </c>
      <c r="B171" s="1" t="str">
        <f>HYPERLINK("http://www.ncbi.nlm.nih.gov/pubmed/?term=Ltbr", "Ltbr")</f>
        <v>Ltbr</v>
      </c>
      <c r="C171" s="13">
        <v>6.1040000000000001</v>
      </c>
      <c r="D171" s="20">
        <v>4.5590000000000002</v>
      </c>
      <c r="E171" s="22">
        <v>3.2919999999999998</v>
      </c>
    </row>
    <row r="172" spans="1:5" x14ac:dyDescent="0.25">
      <c r="A172" t="s">
        <v>1752</v>
      </c>
      <c r="B172" s="1" t="str">
        <f>HYPERLINK("http://www.ncbi.nlm.nih.gov/pubmed/?term=Megf6", "Megf6")</f>
        <v>Megf6</v>
      </c>
      <c r="C172" s="4">
        <v>5.718</v>
      </c>
      <c r="D172" s="3">
        <v>2.4569999999999999</v>
      </c>
      <c r="E172" s="3">
        <v>2.9350000000000001</v>
      </c>
    </row>
    <row r="173" spans="1:5" x14ac:dyDescent="0.25">
      <c r="A173" t="s">
        <v>1474</v>
      </c>
      <c r="B173" s="1" t="str">
        <f>HYPERLINK("http://www.ncbi.nlm.nih.gov/pubmed/?term=Diras2", "Diras2")</f>
        <v>Diras2</v>
      </c>
      <c r="C173" s="4">
        <v>5.58</v>
      </c>
      <c r="D173" s="3">
        <v>2.34</v>
      </c>
      <c r="E173" s="3">
        <v>2.137</v>
      </c>
    </row>
    <row r="174" spans="1:5" x14ac:dyDescent="0.25">
      <c r="A174" t="s">
        <v>1126</v>
      </c>
      <c r="B174" s="1" t="str">
        <f>HYPERLINK("http://www.ncbi.nlm.nih.gov/pubmed/?term=Tmem169", "Tmem169")</f>
        <v>Tmem169</v>
      </c>
      <c r="C174" s="4">
        <v>5.0289999999999999</v>
      </c>
      <c r="D174" s="12">
        <v>-0.88100000000000001</v>
      </c>
      <c r="E174" s="12">
        <v>-2.86</v>
      </c>
    </row>
    <row r="175" spans="1:5" x14ac:dyDescent="0.25">
      <c r="A175" t="s">
        <v>160</v>
      </c>
      <c r="B175" s="1" t="str">
        <f>HYPERLINK("http://www.ncbi.nlm.nih.gov/pubmed/?term=Nsmaf", "Nsmaf")</f>
        <v>Nsmaf</v>
      </c>
      <c r="C175" s="4">
        <v>5.9690000000000003</v>
      </c>
      <c r="D175" s="20">
        <v>4.07</v>
      </c>
      <c r="E175" s="22">
        <v>3.867</v>
      </c>
    </row>
    <row r="176" spans="1:5" x14ac:dyDescent="0.25">
      <c r="A176" t="s">
        <v>1075</v>
      </c>
      <c r="B176" s="1" t="str">
        <f>HYPERLINK("http://www.ncbi.nlm.nih.gov/pubmed/?term=Dnajc13", "Dnajc13")</f>
        <v>Dnajc13</v>
      </c>
      <c r="C176" s="13">
        <v>6.0490000000000004</v>
      </c>
      <c r="D176" s="22">
        <v>3.8780000000000001</v>
      </c>
      <c r="E176" s="20">
        <v>4.4459999999999997</v>
      </c>
    </row>
    <row r="177" spans="1:5" x14ac:dyDescent="0.25">
      <c r="A177" t="s">
        <v>1997</v>
      </c>
      <c r="B177" s="1" t="str">
        <f>HYPERLINK("http://www.ncbi.nlm.nih.gov/pubmed/?term=Spon2", "Spon2")</f>
        <v>Spon2</v>
      </c>
      <c r="C177" s="4">
        <v>5.4009999999999998</v>
      </c>
      <c r="D177" s="11">
        <v>1.6619999999999999</v>
      </c>
      <c r="E177" s="12">
        <v>-0.75380000000000003</v>
      </c>
    </row>
    <row r="178" spans="1:5" x14ac:dyDescent="0.25">
      <c r="A178" t="s">
        <v>1577</v>
      </c>
      <c r="B178" s="1" t="str">
        <f>HYPERLINK("http://www.ncbi.nlm.nih.gov/pubmed/?term=Osbpl10", "Osbpl10")</f>
        <v>Osbpl10</v>
      </c>
      <c r="C178" s="4">
        <v>5.883</v>
      </c>
      <c r="D178" s="22">
        <v>3.77</v>
      </c>
      <c r="E178" s="3">
        <v>2.7120000000000002</v>
      </c>
    </row>
    <row r="179" spans="1:5" x14ac:dyDescent="0.25">
      <c r="A179" t="s">
        <v>219</v>
      </c>
      <c r="B179" s="1" t="str">
        <f>HYPERLINK("http://www.ncbi.nlm.nih.gov/pubmed/?term=Pgm5", "Pgm5")</f>
        <v>Pgm5</v>
      </c>
      <c r="C179" s="4">
        <v>5.9640000000000004</v>
      </c>
      <c r="D179" s="20">
        <v>4.1390000000000002</v>
      </c>
      <c r="E179" s="3">
        <v>2.1760000000000002</v>
      </c>
    </row>
    <row r="180" spans="1:5" x14ac:dyDescent="0.25">
      <c r="A180" t="s">
        <v>1085</v>
      </c>
      <c r="B180" s="1" t="str">
        <f>HYPERLINK("http://www.ncbi.nlm.nih.gov/pubmed/?term=Btbd11", "Btbd11")</f>
        <v>Btbd11</v>
      </c>
      <c r="C180" s="13">
        <v>6.13</v>
      </c>
      <c r="D180" s="22">
        <v>3.9220000000000002</v>
      </c>
      <c r="E180" s="20">
        <v>4.9160000000000004</v>
      </c>
    </row>
    <row r="181" spans="1:5" x14ac:dyDescent="0.25">
      <c r="A181" t="s">
        <v>1445</v>
      </c>
      <c r="B181" s="1" t="str">
        <f>HYPERLINK("http://www.ncbi.nlm.nih.gov/pubmed/?term=Unc119", "Unc119")</f>
        <v>Unc119</v>
      </c>
      <c r="C181" s="4">
        <v>5.8360000000000003</v>
      </c>
      <c r="D181" s="22">
        <v>3.6459999999999999</v>
      </c>
      <c r="E181" s="3">
        <v>2.085</v>
      </c>
    </row>
    <row r="182" spans="1:5" x14ac:dyDescent="0.25">
      <c r="A182" t="s">
        <v>849</v>
      </c>
      <c r="B182" s="1" t="str">
        <f>HYPERLINK("http://www.ncbi.nlm.nih.gov/pubmed/?term=Wapal", "Wapal")</f>
        <v>Wapal</v>
      </c>
      <c r="C182" s="13">
        <v>6.1509999999999998</v>
      </c>
      <c r="D182" s="20">
        <v>4.8520000000000003</v>
      </c>
      <c r="E182" s="4">
        <v>5.0979999999999999</v>
      </c>
    </row>
    <row r="183" spans="1:5" x14ac:dyDescent="0.25">
      <c r="A183" t="s">
        <v>227</v>
      </c>
      <c r="B183" s="1" t="str">
        <f>HYPERLINK("http://www.ncbi.nlm.nih.gov/pubmed/?term=Npnt", "Npnt")</f>
        <v>Npnt</v>
      </c>
      <c r="C183" s="4">
        <v>5.9729999999999999</v>
      </c>
      <c r="D183" s="3">
        <v>2.8090000000000002</v>
      </c>
      <c r="E183" s="20">
        <v>4.3529999999999998</v>
      </c>
    </row>
    <row r="184" spans="1:5" x14ac:dyDescent="0.25">
      <c r="A184" t="s">
        <v>583</v>
      </c>
      <c r="B184" s="1" t="str">
        <f>HYPERLINK("http://www.ncbi.nlm.nih.gov/pubmed/?term=Srebf1", "Srebf1")</f>
        <v>Srebf1</v>
      </c>
      <c r="C184" s="13">
        <v>6.008</v>
      </c>
      <c r="D184" s="20">
        <v>4.5049999999999999</v>
      </c>
      <c r="E184" s="20">
        <v>4.1029999999999998</v>
      </c>
    </row>
    <row r="185" spans="1:5" x14ac:dyDescent="0.25">
      <c r="A185" t="s">
        <v>1210</v>
      </c>
      <c r="B185" s="1" t="str">
        <f>HYPERLINK("http://www.ncbi.nlm.nih.gov/pubmed/?term=Inmt", "Inmt")</f>
        <v>Inmt</v>
      </c>
      <c r="C185" s="20">
        <v>4.9530000000000003</v>
      </c>
      <c r="D185" s="12">
        <v>-2.984</v>
      </c>
      <c r="E185" s="12">
        <v>-1.5720000000000001</v>
      </c>
    </row>
    <row r="186" spans="1:5" x14ac:dyDescent="0.25">
      <c r="A186" t="s">
        <v>606</v>
      </c>
      <c r="B186" s="1" t="str">
        <f>HYPERLINK("http://www.ncbi.nlm.nih.gov/pubmed/?term=Fasn", "Fasn")</f>
        <v>Fasn</v>
      </c>
      <c r="C186" s="4">
        <v>5.9240000000000004</v>
      </c>
      <c r="D186" s="22">
        <v>3.9870000000000001</v>
      </c>
      <c r="E186" s="20">
        <v>4.2160000000000002</v>
      </c>
    </row>
    <row r="187" spans="1:5" x14ac:dyDescent="0.25">
      <c r="A187" t="s">
        <v>2056</v>
      </c>
      <c r="B187" s="1" t="str">
        <f>HYPERLINK("http://www.ncbi.nlm.nih.gov/pubmed/?term=Clic5", "Clic5")</f>
        <v>Clic5</v>
      </c>
      <c r="C187" s="13">
        <v>6.0339999999999998</v>
      </c>
      <c r="D187" s="22">
        <v>3.484</v>
      </c>
      <c r="E187" s="20">
        <v>4.6929999999999996</v>
      </c>
    </row>
    <row r="188" spans="1:5" x14ac:dyDescent="0.25">
      <c r="A188" t="s">
        <v>1972</v>
      </c>
      <c r="B188" s="1" t="str">
        <f>HYPERLINK("http://www.ncbi.nlm.nih.gov/pubmed/?term=Kctd1", "Kctd1")</f>
        <v>Kctd1</v>
      </c>
      <c r="C188" s="4">
        <v>5.9989999999999997</v>
      </c>
      <c r="D188" s="20">
        <v>4.5519999999999996</v>
      </c>
      <c r="E188" s="3">
        <v>2.327</v>
      </c>
    </row>
    <row r="189" spans="1:5" x14ac:dyDescent="0.25">
      <c r="A189" t="s">
        <v>1552</v>
      </c>
      <c r="B189" s="1" t="str">
        <f>HYPERLINK("http://www.ncbi.nlm.nih.gov/pubmed/?term=Wscd1", "Wscd1")</f>
        <v>Wscd1</v>
      </c>
      <c r="C189" s="4">
        <v>5.8019999999999996</v>
      </c>
      <c r="D189" s="22">
        <v>3.7040000000000002</v>
      </c>
      <c r="E189" s="12">
        <v>0.1326</v>
      </c>
    </row>
    <row r="190" spans="1:5" x14ac:dyDescent="0.25">
      <c r="A190" t="s">
        <v>1763</v>
      </c>
      <c r="B190" s="1" t="str">
        <f>HYPERLINK("http://www.ncbi.nlm.nih.gov/pubmed/?term=Mast4", "Mast4")</f>
        <v>Mast4</v>
      </c>
      <c r="C190" s="4">
        <v>5.7130000000000001</v>
      </c>
      <c r="D190" s="22">
        <v>3.2679999999999998</v>
      </c>
      <c r="E190" s="22">
        <v>3.33</v>
      </c>
    </row>
    <row r="191" spans="1:5" x14ac:dyDescent="0.25">
      <c r="A191" t="s">
        <v>1722</v>
      </c>
      <c r="B191" s="1" t="str">
        <f>HYPERLINK("http://www.ncbi.nlm.nih.gov/pubmed/?term=Etnk1", "Etnk1")</f>
        <v>Etnk1</v>
      </c>
      <c r="C191" s="4">
        <v>5.9870000000000001</v>
      </c>
      <c r="D191" s="20">
        <v>4.548</v>
      </c>
      <c r="E191" s="22">
        <v>3.5339999999999998</v>
      </c>
    </row>
    <row r="192" spans="1:5" x14ac:dyDescent="0.25">
      <c r="A192" t="s">
        <v>691</v>
      </c>
      <c r="B192" s="1" t="str">
        <f>HYPERLINK("http://www.ncbi.nlm.nih.gov/pubmed/?term=Tbc1d2b", "Tbc1d2b")</f>
        <v>Tbc1d2b</v>
      </c>
      <c r="C192" s="4">
        <v>5.9080000000000004</v>
      </c>
      <c r="D192" s="20">
        <v>4.21</v>
      </c>
      <c r="E192" s="22">
        <v>3.6379999999999999</v>
      </c>
    </row>
    <row r="193" spans="1:5" x14ac:dyDescent="0.25">
      <c r="A193" t="s">
        <v>1312</v>
      </c>
      <c r="B193" s="1" t="str">
        <f>HYPERLINK("http://www.ncbi.nlm.nih.gov/pubmed/?term=Adss", "Adss")</f>
        <v>Adss</v>
      </c>
      <c r="C193" s="13">
        <v>6.0590000000000002</v>
      </c>
      <c r="D193" s="20">
        <v>4.9080000000000004</v>
      </c>
      <c r="E193" s="20">
        <v>4.827</v>
      </c>
    </row>
    <row r="194" spans="1:5" x14ac:dyDescent="0.25">
      <c r="A194" t="s">
        <v>331</v>
      </c>
      <c r="B194" s="1" t="str">
        <f>HYPERLINK("http://www.ncbi.nlm.nih.gov/pubmed/?term=Impact", "Impact")</f>
        <v>Impact</v>
      </c>
      <c r="C194" s="4">
        <v>5.665</v>
      </c>
      <c r="D194" s="22">
        <v>3.2080000000000002</v>
      </c>
      <c r="E194" s="22">
        <v>3.169</v>
      </c>
    </row>
    <row r="195" spans="1:5" x14ac:dyDescent="0.25">
      <c r="A195" t="s">
        <v>1193</v>
      </c>
      <c r="B195" s="1" t="str">
        <f>HYPERLINK("http://www.ncbi.nlm.nih.gov/pubmed/?term=Nin", "Nin")</f>
        <v>Nin</v>
      </c>
      <c r="C195" s="4">
        <v>5.5350000000000001</v>
      </c>
      <c r="D195" s="3">
        <v>2.6640000000000001</v>
      </c>
      <c r="E195" s="11">
        <v>1.113</v>
      </c>
    </row>
    <row r="196" spans="1:5" x14ac:dyDescent="0.25">
      <c r="A196" t="s">
        <v>289</v>
      </c>
      <c r="B196" s="1" t="str">
        <f>HYPERLINK("http://www.ncbi.nlm.nih.gov/pubmed/?term=Trpm2", "Trpm2")</f>
        <v>Trpm2</v>
      </c>
      <c r="C196" s="4">
        <v>5.3860000000000001</v>
      </c>
      <c r="D196" s="11">
        <v>1.726</v>
      </c>
      <c r="E196" s="3">
        <v>2.044</v>
      </c>
    </row>
    <row r="197" spans="1:5" x14ac:dyDescent="0.25">
      <c r="A197" t="s">
        <v>1604</v>
      </c>
      <c r="B197" s="1" t="str">
        <f>HYPERLINK("http://www.ncbi.nlm.nih.gov/pubmed/?term=Zfp740", "Zfp740")</f>
        <v>Zfp740</v>
      </c>
      <c r="C197" s="13">
        <v>6.0490000000000004</v>
      </c>
      <c r="D197" s="20">
        <v>4.9219999999999997</v>
      </c>
      <c r="E197" s="22">
        <v>3.5640000000000001</v>
      </c>
    </row>
    <row r="198" spans="1:5" x14ac:dyDescent="0.25">
      <c r="A198" t="s">
        <v>1078</v>
      </c>
      <c r="B198" s="1" t="str">
        <f>HYPERLINK("http://www.ncbi.nlm.nih.gov/pubmed/?term=Ndufa11", "Ndufa11")</f>
        <v>Ndufa11</v>
      </c>
      <c r="C198" s="4">
        <v>5.9329999999999998</v>
      </c>
      <c r="D198" s="20">
        <v>4.4329999999999998</v>
      </c>
      <c r="E198" s="20">
        <v>4.3339999999999996</v>
      </c>
    </row>
    <row r="199" spans="1:5" x14ac:dyDescent="0.25">
      <c r="A199" t="s">
        <v>482</v>
      </c>
      <c r="B199" s="1" t="str">
        <f>HYPERLINK("http://www.ncbi.nlm.nih.gov/pubmed/?term=Aldh7a1", "Aldh7a1")</f>
        <v>Aldh7a1</v>
      </c>
      <c r="C199" s="4">
        <v>5.8730000000000002</v>
      </c>
      <c r="D199" s="20">
        <v>4.1980000000000004</v>
      </c>
      <c r="E199" s="22">
        <v>3.476</v>
      </c>
    </row>
    <row r="200" spans="1:5" x14ac:dyDescent="0.25">
      <c r="A200" t="s">
        <v>613</v>
      </c>
      <c r="B200" s="1" t="str">
        <f>HYPERLINK("http://www.ncbi.nlm.nih.gov/pubmed/?term=Vat1", "Vat1")</f>
        <v>Vat1</v>
      </c>
      <c r="C200" s="4">
        <v>5.899</v>
      </c>
      <c r="D200" s="20">
        <v>4.3239999999999998</v>
      </c>
      <c r="E200" s="22">
        <v>3.0289999999999999</v>
      </c>
    </row>
    <row r="201" spans="1:5" x14ac:dyDescent="0.25">
      <c r="A201" t="s">
        <v>262</v>
      </c>
      <c r="B201" s="1" t="str">
        <f>HYPERLINK("http://www.ncbi.nlm.nih.gov/pubmed/?term=Maged2", "Maged2")</f>
        <v>Maged2</v>
      </c>
      <c r="C201" s="4">
        <v>5.8719999999999999</v>
      </c>
      <c r="D201" s="20">
        <v>4.2249999999999996</v>
      </c>
      <c r="E201" s="22">
        <v>3.2749999999999999</v>
      </c>
    </row>
    <row r="202" spans="1:5" x14ac:dyDescent="0.25">
      <c r="A202" t="s">
        <v>265</v>
      </c>
      <c r="B202" s="1" t="str">
        <f>HYPERLINK("http://www.ncbi.nlm.nih.gov/pubmed/?term=Hsd17b10", "Hsd17b10")</f>
        <v>Hsd17b10</v>
      </c>
      <c r="C202" s="13">
        <v>6.0149999999999997</v>
      </c>
      <c r="D202" s="20">
        <v>4.8529999999999998</v>
      </c>
      <c r="E202" s="22">
        <v>3.6549999999999998</v>
      </c>
    </row>
    <row r="203" spans="1:5" x14ac:dyDescent="0.25">
      <c r="A203" t="s">
        <v>445</v>
      </c>
      <c r="B203" s="1" t="str">
        <f>HYPERLINK("http://www.ncbi.nlm.nih.gov/pubmed/?term=Zmpste24", "Zmpste24")</f>
        <v>Zmpste24</v>
      </c>
      <c r="C203" s="4">
        <v>5.8120000000000003</v>
      </c>
      <c r="D203" s="20">
        <v>4.0209999999999999</v>
      </c>
      <c r="E203" s="22">
        <v>3.8570000000000002</v>
      </c>
    </row>
    <row r="204" spans="1:5" x14ac:dyDescent="0.25">
      <c r="A204" t="s">
        <v>1559</v>
      </c>
      <c r="B204" s="1" t="str">
        <f>HYPERLINK("http://www.ncbi.nlm.nih.gov/pubmed/?term=Dctn1", "Dctn1")</f>
        <v>Dctn1</v>
      </c>
      <c r="C204" s="13">
        <v>6.0330000000000004</v>
      </c>
      <c r="D204" s="4">
        <v>5.0179999999999998</v>
      </c>
      <c r="E204" s="20">
        <v>4.9089999999999998</v>
      </c>
    </row>
    <row r="205" spans="1:5" x14ac:dyDescent="0.25">
      <c r="A205" t="s">
        <v>266</v>
      </c>
      <c r="B205" s="1" t="str">
        <f>HYPERLINK("http://www.ncbi.nlm.nih.gov/pubmed/?term=Sec24d", "Sec24d")</f>
        <v>Sec24d</v>
      </c>
      <c r="C205" s="4">
        <v>5.8639999999999999</v>
      </c>
      <c r="D205" s="20">
        <v>4.3129999999999997</v>
      </c>
      <c r="E205" s="20">
        <v>4.2720000000000002</v>
      </c>
    </row>
    <row r="206" spans="1:5" x14ac:dyDescent="0.25">
      <c r="A206" t="s">
        <v>1741</v>
      </c>
      <c r="B206" s="1" t="str">
        <f>HYPERLINK("http://www.ncbi.nlm.nih.gov/pubmed/?term=Arhgef16", "Arhgef16")</f>
        <v>Arhgef16</v>
      </c>
      <c r="C206" s="4">
        <v>5.9980000000000002</v>
      </c>
      <c r="D206" s="20">
        <v>4.3440000000000003</v>
      </c>
      <c r="E206" s="20">
        <v>4.8970000000000002</v>
      </c>
    </row>
    <row r="207" spans="1:5" x14ac:dyDescent="0.25">
      <c r="A207" t="s">
        <v>1368</v>
      </c>
      <c r="B207" s="1" t="str">
        <f>HYPERLINK("http://www.ncbi.nlm.nih.gov/pubmed/?term=1810041L15Rik", "1810041L15Rik")</f>
        <v>1810041L15Rik</v>
      </c>
      <c r="C207" s="4">
        <v>5.415</v>
      </c>
      <c r="D207" s="3">
        <v>2.38</v>
      </c>
      <c r="E207" s="11">
        <v>1.071</v>
      </c>
    </row>
    <row r="208" spans="1:5" x14ac:dyDescent="0.25">
      <c r="A208" t="s">
        <v>156</v>
      </c>
      <c r="B208" s="1" t="str">
        <f>HYPERLINK("http://www.ncbi.nlm.nih.gov/pubmed/?term=Mgat3", "Mgat3")</f>
        <v>Mgat3</v>
      </c>
      <c r="C208" s="4">
        <v>5.93</v>
      </c>
      <c r="D208" s="20">
        <v>4.6040000000000001</v>
      </c>
      <c r="E208" s="11">
        <v>1.3180000000000001</v>
      </c>
    </row>
    <row r="209" spans="1:5" x14ac:dyDescent="0.25">
      <c r="A209" t="s">
        <v>1444</v>
      </c>
      <c r="B209" s="1" t="str">
        <f>HYPERLINK("http://www.ncbi.nlm.nih.gov/pubmed/?term=Bahd1", "Bahd1")</f>
        <v>Bahd1</v>
      </c>
      <c r="C209" s="4">
        <v>5.8369999999999997</v>
      </c>
      <c r="D209" s="20">
        <v>4.2220000000000004</v>
      </c>
      <c r="E209" s="20">
        <v>4.05</v>
      </c>
    </row>
    <row r="210" spans="1:5" x14ac:dyDescent="0.25">
      <c r="A210" t="s">
        <v>166</v>
      </c>
      <c r="B210" s="1" t="str">
        <f>HYPERLINK("http://www.ncbi.nlm.nih.gov/pubmed/?term=Sc5d", "Sc5d")</f>
        <v>Sc5d</v>
      </c>
      <c r="C210" s="4">
        <v>5.8680000000000003</v>
      </c>
      <c r="D210" s="20">
        <v>4.3789999999999996</v>
      </c>
      <c r="E210" s="20">
        <v>4.2149999999999999</v>
      </c>
    </row>
    <row r="211" spans="1:5" x14ac:dyDescent="0.25">
      <c r="A211" t="s">
        <v>1257</v>
      </c>
      <c r="B211" s="1" t="str">
        <f>HYPERLINK("http://www.ncbi.nlm.nih.gov/pubmed/?term=Phpt1", "Phpt1")</f>
        <v>Phpt1</v>
      </c>
      <c r="C211" s="4">
        <v>5.9980000000000002</v>
      </c>
      <c r="D211" s="20">
        <v>4.7320000000000002</v>
      </c>
      <c r="E211" s="20">
        <v>4.9669999999999996</v>
      </c>
    </row>
    <row r="212" spans="1:5" x14ac:dyDescent="0.25">
      <c r="A212" t="s">
        <v>548</v>
      </c>
      <c r="B212" s="1" t="str">
        <f>HYPERLINK("http://www.ncbi.nlm.nih.gov/pubmed/?term=Gtf2e2", "Gtf2e2")</f>
        <v>Gtf2e2</v>
      </c>
      <c r="C212" s="4">
        <v>6</v>
      </c>
      <c r="D212" s="20">
        <v>4.056</v>
      </c>
      <c r="E212" s="20">
        <v>4.9809999999999999</v>
      </c>
    </row>
    <row r="213" spans="1:5" x14ac:dyDescent="0.25">
      <c r="A213" t="s">
        <v>1128</v>
      </c>
      <c r="B213" s="1" t="str">
        <f>HYPERLINK("http://www.ncbi.nlm.nih.gov/pubmed/?term=Xrcc5", "Xrcc5")</f>
        <v>Xrcc5</v>
      </c>
      <c r="C213" s="4">
        <v>5.7939999999999996</v>
      </c>
      <c r="D213" s="20">
        <v>4.1219999999999999</v>
      </c>
      <c r="E213" s="3">
        <v>2.456</v>
      </c>
    </row>
    <row r="214" spans="1:5" x14ac:dyDescent="0.25">
      <c r="A214" t="s">
        <v>1731</v>
      </c>
      <c r="B214" s="1" t="str">
        <f>HYPERLINK("http://www.ncbi.nlm.nih.gov/pubmed/?term=Rassf5", "Rassf5")</f>
        <v>Rassf5</v>
      </c>
      <c r="C214" s="4">
        <v>5.5979999999999999</v>
      </c>
      <c r="D214" s="22">
        <v>3.3119999999999998</v>
      </c>
      <c r="E214" s="3">
        <v>2.109</v>
      </c>
    </row>
    <row r="215" spans="1:5" x14ac:dyDescent="0.25">
      <c r="A215" t="s">
        <v>1200</v>
      </c>
      <c r="B215" s="1" t="str">
        <f>HYPERLINK("http://www.ncbi.nlm.nih.gov/pubmed/?term=Got1", "Got1")</f>
        <v>Got1</v>
      </c>
      <c r="C215" s="4">
        <v>5.7190000000000003</v>
      </c>
      <c r="D215" s="22">
        <v>3.2320000000000002</v>
      </c>
      <c r="E215" s="22">
        <v>3.86</v>
      </c>
    </row>
    <row r="216" spans="1:5" x14ac:dyDescent="0.25">
      <c r="A216" t="s">
        <v>1530</v>
      </c>
      <c r="B216" s="1" t="str">
        <f>HYPERLINK("http://www.ncbi.nlm.nih.gov/pubmed/?term=Rcan1", "Rcan1")</f>
        <v>Rcan1</v>
      </c>
      <c r="C216" s="4">
        <v>5.8739999999999997</v>
      </c>
      <c r="D216" s="20">
        <v>4.5670000000000002</v>
      </c>
      <c r="E216" s="3">
        <v>2.9449999999999998</v>
      </c>
    </row>
    <row r="217" spans="1:5" x14ac:dyDescent="0.25">
      <c r="A217" t="s">
        <v>264</v>
      </c>
      <c r="B217" s="1" t="str">
        <f>HYPERLINK("http://www.ncbi.nlm.nih.gov/pubmed/?term=Cops5", "Cops5")</f>
        <v>Cops5</v>
      </c>
      <c r="C217" s="4">
        <v>5.9180000000000001</v>
      </c>
      <c r="D217" s="20">
        <v>4.6870000000000003</v>
      </c>
      <c r="E217" s="20">
        <v>4.76</v>
      </c>
    </row>
    <row r="218" spans="1:5" x14ac:dyDescent="0.25">
      <c r="A218" t="s">
        <v>1668</v>
      </c>
      <c r="B218" s="1" t="str">
        <f>HYPERLINK("http://www.ncbi.nlm.nih.gov/pubmed/?term=Znrf2", "Znrf2")</f>
        <v>Znrf2</v>
      </c>
      <c r="C218" s="4">
        <v>5.835</v>
      </c>
      <c r="D218" s="20">
        <v>4.4109999999999996</v>
      </c>
      <c r="E218" s="20">
        <v>4.22</v>
      </c>
    </row>
    <row r="219" spans="1:5" x14ac:dyDescent="0.25">
      <c r="A219" t="s">
        <v>236</v>
      </c>
      <c r="B219" s="1" t="str">
        <f>HYPERLINK("http://www.ncbi.nlm.nih.gov/pubmed/?term=Inpp1", "Inpp1")</f>
        <v>Inpp1</v>
      </c>
      <c r="C219" s="4">
        <v>5.8109999999999999</v>
      </c>
      <c r="D219" s="22">
        <v>3.8580000000000001</v>
      </c>
      <c r="E219" s="20">
        <v>4.306</v>
      </c>
    </row>
    <row r="220" spans="1:5" x14ac:dyDescent="0.25">
      <c r="A220" t="s">
        <v>794</v>
      </c>
      <c r="B220" s="1" t="str">
        <f>HYPERLINK("http://www.ncbi.nlm.nih.gov/pubmed/?term=6330409N04Rik", "6330409N04Rik")</f>
        <v>6330409N04Rik</v>
      </c>
      <c r="C220" s="4">
        <v>5.9160000000000004</v>
      </c>
      <c r="D220" s="20">
        <v>4.782</v>
      </c>
      <c r="E220" s="20">
        <v>4.5410000000000004</v>
      </c>
    </row>
    <row r="221" spans="1:5" x14ac:dyDescent="0.25">
      <c r="A221" t="s">
        <v>241</v>
      </c>
      <c r="B221" s="1" t="str">
        <f>HYPERLINK("http://www.ncbi.nlm.nih.gov/pubmed/?term=Foxo3", "Foxo3")</f>
        <v>Foxo3</v>
      </c>
      <c r="C221" s="4">
        <v>5.5039999999999996</v>
      </c>
      <c r="D221" s="22">
        <v>3.0409999999999999</v>
      </c>
      <c r="E221" s="3">
        <v>2.7749999999999999</v>
      </c>
    </row>
    <row r="222" spans="1:5" x14ac:dyDescent="0.25">
      <c r="A222" t="s">
        <v>1148</v>
      </c>
      <c r="B222" s="1" t="str">
        <f>HYPERLINK("http://www.ncbi.nlm.nih.gov/pubmed/?term=Lamc1", "Lamc1")</f>
        <v>Lamc1</v>
      </c>
      <c r="C222" s="4">
        <v>5.6539999999999999</v>
      </c>
      <c r="D222" s="22">
        <v>3.6970000000000001</v>
      </c>
      <c r="E222" s="3">
        <v>2.4590000000000001</v>
      </c>
    </row>
    <row r="223" spans="1:5" x14ac:dyDescent="0.25">
      <c r="A223" t="s">
        <v>2047</v>
      </c>
      <c r="B223" s="1" t="str">
        <f>HYPERLINK("http://www.ncbi.nlm.nih.gov/pubmed/?term=Hic1", "Hic1")</f>
        <v>Hic1</v>
      </c>
      <c r="C223" s="4">
        <v>5.3570000000000002</v>
      </c>
      <c r="D223" s="3">
        <v>2.42</v>
      </c>
      <c r="E223" s="12">
        <v>0.62419999999999998</v>
      </c>
    </row>
    <row r="224" spans="1:5" x14ac:dyDescent="0.25">
      <c r="A224" t="s">
        <v>1449</v>
      </c>
      <c r="B224" s="1" t="str">
        <f>HYPERLINK("http://www.ncbi.nlm.nih.gov/pubmed/?term=Dusp28", "Dusp28")</f>
        <v>Dusp28</v>
      </c>
      <c r="C224" s="4">
        <v>5.2270000000000003</v>
      </c>
      <c r="D224" s="11">
        <v>1.861</v>
      </c>
      <c r="E224" s="12">
        <v>0.90849999999999997</v>
      </c>
    </row>
    <row r="225" spans="1:5" x14ac:dyDescent="0.25">
      <c r="A225" t="s">
        <v>1844</v>
      </c>
      <c r="B225" s="1" t="str">
        <f>HYPERLINK("http://www.ncbi.nlm.nih.gov/pubmed/?term=Frem2", "Frem2")</f>
        <v>Frem2</v>
      </c>
      <c r="C225" s="4">
        <v>5.1120000000000001</v>
      </c>
      <c r="D225" s="12">
        <v>-0.1666</v>
      </c>
      <c r="E225" s="11">
        <v>1.393</v>
      </c>
    </row>
    <row r="226" spans="1:5" x14ac:dyDescent="0.25">
      <c r="A226" t="s">
        <v>1454</v>
      </c>
      <c r="B226" s="1" t="str">
        <f>HYPERLINK("http://www.ncbi.nlm.nih.gov/pubmed/?term=Camk4", "Camk4")</f>
        <v>Camk4</v>
      </c>
      <c r="C226" s="4">
        <v>5.74</v>
      </c>
      <c r="D226" s="20">
        <v>4.1070000000000002</v>
      </c>
      <c r="E226" s="22">
        <v>3.919</v>
      </c>
    </row>
    <row r="227" spans="1:5" x14ac:dyDescent="0.25">
      <c r="A227" t="s">
        <v>936</v>
      </c>
      <c r="B227" s="1" t="str">
        <f>HYPERLINK("http://www.ncbi.nlm.nih.gov/pubmed/?term=Wdr92", "Wdr92")</f>
        <v>Wdr92</v>
      </c>
      <c r="C227" s="4">
        <v>5.8879999999999999</v>
      </c>
      <c r="D227" s="20">
        <v>4.734</v>
      </c>
      <c r="E227" s="20">
        <v>4.7489999999999997</v>
      </c>
    </row>
    <row r="228" spans="1:5" x14ac:dyDescent="0.25">
      <c r="A228" t="s">
        <v>280</v>
      </c>
      <c r="B228" s="1" t="str">
        <f>HYPERLINK("http://www.ncbi.nlm.nih.gov/pubmed/?term=Copg2", "Copg2")</f>
        <v>Copg2</v>
      </c>
      <c r="C228" s="4">
        <v>5.843</v>
      </c>
      <c r="D228" s="20">
        <v>4.593</v>
      </c>
      <c r="E228" s="22">
        <v>3.9670000000000001</v>
      </c>
    </row>
    <row r="229" spans="1:5" x14ac:dyDescent="0.25">
      <c r="A229" t="s">
        <v>1762</v>
      </c>
      <c r="B229" s="1" t="str">
        <f>HYPERLINK("http://www.ncbi.nlm.nih.gov/pubmed/?term=Fkbp9", "Fkbp9")</f>
        <v>Fkbp9</v>
      </c>
      <c r="C229" s="4">
        <v>5.8440000000000003</v>
      </c>
      <c r="D229" s="20">
        <v>4.6059999999999999</v>
      </c>
      <c r="E229" s="3">
        <v>2.9820000000000002</v>
      </c>
    </row>
    <row r="230" spans="1:5" x14ac:dyDescent="0.25">
      <c r="A230" t="s">
        <v>1812</v>
      </c>
      <c r="B230" s="1" t="str">
        <f>HYPERLINK("http://www.ncbi.nlm.nih.gov/pubmed/?term=Srpk2", "Srpk2")</f>
        <v>Srpk2</v>
      </c>
      <c r="C230" s="4">
        <v>5.673</v>
      </c>
      <c r="D230" s="22">
        <v>3.8759999999999999</v>
      </c>
      <c r="E230" s="22">
        <v>3.044</v>
      </c>
    </row>
    <row r="231" spans="1:5" x14ac:dyDescent="0.25">
      <c r="A231" t="s">
        <v>645</v>
      </c>
      <c r="B231" s="1" t="str">
        <f>HYPERLINK("http://www.ncbi.nlm.nih.gov/pubmed/?term=Nkain4", "Nkain4")</f>
        <v>Nkain4</v>
      </c>
      <c r="C231" s="4">
        <v>5.5789999999999997</v>
      </c>
      <c r="D231" s="22">
        <v>3.4820000000000002</v>
      </c>
      <c r="E231" s="11">
        <v>1.1000000000000001</v>
      </c>
    </row>
    <row r="232" spans="1:5" x14ac:dyDescent="0.25">
      <c r="A232" t="s">
        <v>1956</v>
      </c>
      <c r="B232" s="1" t="str">
        <f>HYPERLINK("http://www.ncbi.nlm.nih.gov/pubmed/?term=Yap1", "Yap1")</f>
        <v>Yap1</v>
      </c>
      <c r="C232" s="4">
        <v>5.8419999999999996</v>
      </c>
      <c r="D232" s="20">
        <v>4.6219999999999999</v>
      </c>
      <c r="E232" s="3">
        <v>2.6669999999999998</v>
      </c>
    </row>
    <row r="233" spans="1:5" x14ac:dyDescent="0.25">
      <c r="A233" t="s">
        <v>632</v>
      </c>
      <c r="B233" s="1" t="str">
        <f>HYPERLINK("http://www.ncbi.nlm.nih.gov/pubmed/?term=Slc2a13", "Slc2a13")</f>
        <v>Slc2a13</v>
      </c>
      <c r="C233" s="4">
        <v>5.0549999999999997</v>
      </c>
      <c r="D233" s="12">
        <v>0.62160000000000004</v>
      </c>
      <c r="E233" s="11">
        <v>1.222</v>
      </c>
    </row>
    <row r="234" spans="1:5" x14ac:dyDescent="0.25">
      <c r="A234" t="s">
        <v>1823</v>
      </c>
      <c r="B234" s="1" t="str">
        <f>HYPERLINK("http://www.ncbi.nlm.nih.gov/pubmed/?term=Sept11", "Sept11")</f>
        <v>Sept11</v>
      </c>
      <c r="C234" s="4">
        <v>5.7640000000000002</v>
      </c>
      <c r="D234" s="20">
        <v>4.2919999999999998</v>
      </c>
      <c r="E234" s="20">
        <v>4.1120000000000001</v>
      </c>
    </row>
    <row r="235" spans="1:5" x14ac:dyDescent="0.25">
      <c r="A235" t="s">
        <v>1800</v>
      </c>
      <c r="B235" s="1" t="str">
        <f>HYPERLINK("http://www.ncbi.nlm.nih.gov/pubmed/?term=Psma5", "Psma5")</f>
        <v>Psma5</v>
      </c>
      <c r="C235" s="4">
        <v>5.7270000000000003</v>
      </c>
      <c r="D235" s="20">
        <v>4.1109999999999998</v>
      </c>
      <c r="E235" s="20">
        <v>4.1340000000000003</v>
      </c>
    </row>
    <row r="236" spans="1:5" x14ac:dyDescent="0.25">
      <c r="A236" t="s">
        <v>269</v>
      </c>
      <c r="B236" s="1" t="str">
        <f>HYPERLINK("http://www.ncbi.nlm.nih.gov/pubmed/?term=Stx11", "Stx11")</f>
        <v>Stx11</v>
      </c>
      <c r="C236" s="4">
        <v>5.8239999999999998</v>
      </c>
      <c r="D236" s="22">
        <v>3.86</v>
      </c>
      <c r="E236" s="20">
        <v>4.6059999999999999</v>
      </c>
    </row>
    <row r="237" spans="1:5" x14ac:dyDescent="0.25">
      <c r="A237" t="s">
        <v>330</v>
      </c>
      <c r="B237" s="1" t="str">
        <f>HYPERLINK("http://www.ncbi.nlm.nih.gov/pubmed/?term=Bckdhb", "Bckdhb")</f>
        <v>Bckdhb</v>
      </c>
      <c r="C237" s="4">
        <v>5.6589999999999998</v>
      </c>
      <c r="D237" s="22">
        <v>3.9159999999999999</v>
      </c>
      <c r="E237" s="22">
        <v>3.2589999999999999</v>
      </c>
    </row>
    <row r="238" spans="1:5" x14ac:dyDescent="0.25">
      <c r="A238" t="s">
        <v>363</v>
      </c>
      <c r="B238" s="1" t="str">
        <f>HYPERLINK("http://www.ncbi.nlm.nih.gov/pubmed/?term=Kctd10", "Kctd10")</f>
        <v>Kctd10</v>
      </c>
      <c r="C238" s="4">
        <v>5.7640000000000002</v>
      </c>
      <c r="D238" s="20">
        <v>4.3689999999999998</v>
      </c>
      <c r="E238" s="20">
        <v>4.1040000000000001</v>
      </c>
    </row>
    <row r="239" spans="1:5" x14ac:dyDescent="0.25">
      <c r="A239" t="s">
        <v>2051</v>
      </c>
      <c r="B239" s="1" t="str">
        <f>HYPERLINK("http://www.ncbi.nlm.nih.gov/pubmed/?term=Tbl1x", "Tbl1x")</f>
        <v>Tbl1x</v>
      </c>
      <c r="C239" s="4">
        <v>5.8029999999999999</v>
      </c>
      <c r="D239" s="20">
        <v>4.4569999999999999</v>
      </c>
      <c r="E239" s="20">
        <v>4.556</v>
      </c>
    </row>
    <row r="240" spans="1:5" x14ac:dyDescent="0.25">
      <c r="A240" t="s">
        <v>687</v>
      </c>
      <c r="B240" s="1" t="str">
        <f>HYPERLINK("http://www.ncbi.nlm.nih.gov/pubmed/?term=Ash2l", "Ash2l")</f>
        <v>Ash2l</v>
      </c>
      <c r="C240" s="4">
        <v>5.7789999999999999</v>
      </c>
      <c r="D240" s="20">
        <v>4.468</v>
      </c>
      <c r="E240" s="20">
        <v>4.1310000000000002</v>
      </c>
    </row>
    <row r="241" spans="1:5" x14ac:dyDescent="0.25">
      <c r="A241" t="s">
        <v>488</v>
      </c>
      <c r="B241" s="1" t="str">
        <f>HYPERLINK("http://www.ncbi.nlm.nih.gov/pubmed/?term=Rag1", "Rag1")</f>
        <v>Rag1</v>
      </c>
      <c r="C241" s="20">
        <v>4.819</v>
      </c>
      <c r="D241" s="12">
        <v>0.2029</v>
      </c>
      <c r="E241" s="12">
        <v>0.34110000000000001</v>
      </c>
    </row>
    <row r="242" spans="1:5" x14ac:dyDescent="0.25">
      <c r="A242" t="s">
        <v>1472</v>
      </c>
      <c r="B242" s="1" t="str">
        <f>HYPERLINK("http://www.ncbi.nlm.nih.gov/pubmed/?term=Gm7292", "Gm7292")</f>
        <v>Gm7292</v>
      </c>
      <c r="C242" s="4">
        <v>5.8550000000000004</v>
      </c>
      <c r="D242" s="20">
        <v>4.8239999999999998</v>
      </c>
      <c r="E242" s="20">
        <v>4.7439999999999998</v>
      </c>
    </row>
    <row r="243" spans="1:5" x14ac:dyDescent="0.25">
      <c r="A243" t="s">
        <v>1296</v>
      </c>
      <c r="B243" s="1" t="str">
        <f>HYPERLINK("http://www.ncbi.nlm.nih.gov/pubmed/?term=St3gal6", "St3gal6")</f>
        <v>St3gal6</v>
      </c>
      <c r="C243" s="4">
        <v>5.35</v>
      </c>
      <c r="D243" s="3">
        <v>2.65</v>
      </c>
      <c r="E243" s="3">
        <v>2.6840000000000002</v>
      </c>
    </row>
    <row r="244" spans="1:5" x14ac:dyDescent="0.25">
      <c r="A244" t="s">
        <v>74</v>
      </c>
      <c r="B244" s="1" t="str">
        <f>HYPERLINK("http://www.ncbi.nlm.nih.gov/pubmed/?term=Klf15", "Klf15")</f>
        <v>Klf15</v>
      </c>
      <c r="C244" s="20">
        <v>4.7149999999999999</v>
      </c>
      <c r="D244" s="12">
        <v>-0.59689999999999999</v>
      </c>
      <c r="E244" s="12">
        <v>-1.694</v>
      </c>
    </row>
    <row r="245" spans="1:5" x14ac:dyDescent="0.25">
      <c r="A245" t="s">
        <v>1079</v>
      </c>
      <c r="B245" s="1" t="str">
        <f>HYPERLINK("http://www.ncbi.nlm.nih.gov/pubmed/?term=Spats2", "Spats2")</f>
        <v>Spats2</v>
      </c>
      <c r="C245" s="4">
        <v>5.4779999999999998</v>
      </c>
      <c r="D245" s="22">
        <v>3.07</v>
      </c>
      <c r="E245" s="22">
        <v>3.3010000000000002</v>
      </c>
    </row>
    <row r="246" spans="1:5" x14ac:dyDescent="0.25">
      <c r="A246" t="s">
        <v>311</v>
      </c>
      <c r="B246" s="1" t="str">
        <f>HYPERLINK("http://www.ncbi.nlm.nih.gov/pubmed/?term=Dcun1d5", "Dcun1d5")</f>
        <v>Dcun1d5</v>
      </c>
      <c r="C246" s="4">
        <v>5.8079999999999998</v>
      </c>
      <c r="D246" s="20">
        <v>4.7370000000000001</v>
      </c>
      <c r="E246" s="20">
        <v>4.492</v>
      </c>
    </row>
    <row r="247" spans="1:5" x14ac:dyDescent="0.25">
      <c r="A247" t="s">
        <v>933</v>
      </c>
      <c r="B247" s="1" t="str">
        <f>HYPERLINK("http://www.ncbi.nlm.nih.gov/pubmed/?term=AI413582", "AI413582")</f>
        <v>AI413582</v>
      </c>
      <c r="C247" s="4">
        <v>5.7960000000000003</v>
      </c>
      <c r="D247" s="20">
        <v>4.01</v>
      </c>
      <c r="E247" s="20">
        <v>4.7759999999999998</v>
      </c>
    </row>
    <row r="248" spans="1:5" x14ac:dyDescent="0.25">
      <c r="A248" t="s">
        <v>279</v>
      </c>
      <c r="B248" s="1" t="str">
        <f>HYPERLINK("http://www.ncbi.nlm.nih.gov/pubmed/?term=2010300C02Rik", "2010300C02Rik")</f>
        <v>2010300C02Rik</v>
      </c>
      <c r="C248" s="4">
        <v>5.3760000000000003</v>
      </c>
      <c r="D248" s="3">
        <v>2.9740000000000002</v>
      </c>
      <c r="E248" s="12">
        <v>0.57609999999999995</v>
      </c>
    </row>
    <row r="249" spans="1:5" x14ac:dyDescent="0.25">
      <c r="A249" t="s">
        <v>377</v>
      </c>
      <c r="B249" s="1" t="str">
        <f>HYPERLINK("http://www.ncbi.nlm.nih.gov/pubmed/?term=Klf2", "Klf2")</f>
        <v>Klf2</v>
      </c>
      <c r="C249" s="4">
        <v>5.5410000000000004</v>
      </c>
      <c r="D249" s="22">
        <v>3.1360000000000001</v>
      </c>
      <c r="E249" s="22">
        <v>3.7170000000000001</v>
      </c>
    </row>
    <row r="250" spans="1:5" x14ac:dyDescent="0.25">
      <c r="A250" t="s">
        <v>2037</v>
      </c>
      <c r="B250" s="1" t="str">
        <f>HYPERLINK("http://www.ncbi.nlm.nih.gov/pubmed/?term=Olfml1", "Olfml1")</f>
        <v>Olfml1</v>
      </c>
      <c r="C250" s="4">
        <v>5.1420000000000003</v>
      </c>
      <c r="D250" s="3">
        <v>2.024</v>
      </c>
      <c r="E250" s="12">
        <v>-0.32850000000000001</v>
      </c>
    </row>
    <row r="251" spans="1:5" x14ac:dyDescent="0.25">
      <c r="A251" t="s">
        <v>159</v>
      </c>
      <c r="B251" s="1" t="str">
        <f>HYPERLINK("http://www.ncbi.nlm.nih.gov/pubmed/?term=Clip4", "Clip4")</f>
        <v>Clip4</v>
      </c>
      <c r="C251" s="4">
        <v>5.6529999999999996</v>
      </c>
      <c r="D251" s="20">
        <v>4.024</v>
      </c>
      <c r="E251" s="20">
        <v>4.2690000000000001</v>
      </c>
    </row>
    <row r="252" spans="1:5" x14ac:dyDescent="0.25">
      <c r="A252" t="s">
        <v>534</v>
      </c>
      <c r="B252" s="1" t="str">
        <f>HYPERLINK("http://www.ncbi.nlm.nih.gov/pubmed/?term=Cdc42ep4", "Cdc42ep4")</f>
        <v>Cdc42ep4</v>
      </c>
      <c r="C252" s="4">
        <v>5.66</v>
      </c>
      <c r="D252" s="22">
        <v>3.4340000000000002</v>
      </c>
      <c r="E252" s="20">
        <v>4.3170000000000002</v>
      </c>
    </row>
    <row r="253" spans="1:5" x14ac:dyDescent="0.25">
      <c r="A253" t="s">
        <v>824</v>
      </c>
      <c r="B253" s="1" t="str">
        <f>HYPERLINK("http://www.ncbi.nlm.nih.gov/pubmed/?term=Prkci", "Prkci")</f>
        <v>Prkci</v>
      </c>
      <c r="C253" s="4">
        <v>5.6680000000000001</v>
      </c>
      <c r="D253" s="20">
        <v>4.3540000000000001</v>
      </c>
      <c r="E253" s="22">
        <v>3.786</v>
      </c>
    </row>
    <row r="254" spans="1:5" x14ac:dyDescent="0.25">
      <c r="A254" t="s">
        <v>1225</v>
      </c>
      <c r="B254" s="1" t="str">
        <f>HYPERLINK("http://www.ncbi.nlm.nih.gov/pubmed/?term=Snx9", "Snx9")</f>
        <v>Snx9</v>
      </c>
      <c r="C254" s="4">
        <v>5.6589999999999998</v>
      </c>
      <c r="D254" s="22">
        <v>3.9860000000000002</v>
      </c>
      <c r="E254" s="20">
        <v>4.3250000000000002</v>
      </c>
    </row>
    <row r="255" spans="1:5" x14ac:dyDescent="0.25">
      <c r="A255" t="s">
        <v>1381</v>
      </c>
      <c r="B255" s="1" t="str">
        <f>HYPERLINK("http://www.ncbi.nlm.nih.gov/pubmed/?term=Kitl", "Kitl")</f>
        <v>Kitl</v>
      </c>
      <c r="C255" s="4">
        <v>5.4390000000000001</v>
      </c>
      <c r="D255" s="12">
        <v>0.98350000000000004</v>
      </c>
      <c r="E255" s="22">
        <v>3.3889999999999998</v>
      </c>
    </row>
    <row r="256" spans="1:5" x14ac:dyDescent="0.25">
      <c r="A256" t="s">
        <v>455</v>
      </c>
      <c r="B256" s="1" t="str">
        <f>HYPERLINK("http://www.ncbi.nlm.nih.gov/pubmed/?term=Nfib", "Nfib")</f>
        <v>Nfib</v>
      </c>
      <c r="C256" s="4">
        <v>5.3890000000000002</v>
      </c>
      <c r="D256" s="22">
        <v>3.1970000000000001</v>
      </c>
      <c r="E256" s="11">
        <v>1.363</v>
      </c>
    </row>
    <row r="257" spans="1:5" x14ac:dyDescent="0.25">
      <c r="A257" t="s">
        <v>326</v>
      </c>
      <c r="B257" s="1" t="str">
        <f>HYPERLINK("http://www.ncbi.nlm.nih.gov/pubmed/?term=Pcgf2", "Pcgf2")</f>
        <v>Pcgf2</v>
      </c>
      <c r="C257" s="4">
        <v>5.6020000000000003</v>
      </c>
      <c r="D257" s="20">
        <v>4.133</v>
      </c>
      <c r="E257" s="22">
        <v>3.2069999999999999</v>
      </c>
    </row>
    <row r="258" spans="1:5" x14ac:dyDescent="0.25">
      <c r="A258" t="s">
        <v>1403</v>
      </c>
      <c r="B258" s="1" t="str">
        <f>HYPERLINK("http://www.ncbi.nlm.nih.gov/pubmed/?term=D15Ertd621e", "D15Ertd621e")</f>
        <v>D15Ertd621e</v>
      </c>
      <c r="C258" s="4">
        <v>5.6539999999999999</v>
      </c>
      <c r="D258" s="20">
        <v>4.3710000000000004</v>
      </c>
      <c r="E258" s="20">
        <v>4.18</v>
      </c>
    </row>
    <row r="259" spans="1:5" x14ac:dyDescent="0.25">
      <c r="A259" t="s">
        <v>1270</v>
      </c>
      <c r="B259" s="1" t="str">
        <f>HYPERLINK("http://www.ncbi.nlm.nih.gov/pubmed/?term=Pkhd1l1", "Pkhd1l1")</f>
        <v>Pkhd1l1</v>
      </c>
      <c r="C259" s="20">
        <v>4.8899999999999997</v>
      </c>
      <c r="D259" s="12">
        <v>-1.224</v>
      </c>
      <c r="E259" s="11">
        <v>1.0720000000000001</v>
      </c>
    </row>
    <row r="260" spans="1:5" x14ac:dyDescent="0.25">
      <c r="A260" t="s">
        <v>458</v>
      </c>
      <c r="B260" s="1" t="str">
        <f>HYPERLINK("http://www.ncbi.nlm.nih.gov/pubmed/?term=Cfl2", "Cfl2")</f>
        <v>Cfl2</v>
      </c>
      <c r="C260" s="4">
        <v>5.5750000000000002</v>
      </c>
      <c r="D260" s="20">
        <v>4.0350000000000001</v>
      </c>
      <c r="E260" s="3">
        <v>2.4390000000000001</v>
      </c>
    </row>
    <row r="261" spans="1:5" x14ac:dyDescent="0.25">
      <c r="A261" t="s">
        <v>1016</v>
      </c>
      <c r="B261" s="1" t="str">
        <f>HYPERLINK("http://www.ncbi.nlm.nih.gov/pubmed/?term=Iqgap2", "Iqgap2")</f>
        <v>Iqgap2</v>
      </c>
      <c r="C261" s="4">
        <v>5.1420000000000003</v>
      </c>
      <c r="D261" s="11">
        <v>1.232</v>
      </c>
      <c r="E261" s="3">
        <v>2.169</v>
      </c>
    </row>
    <row r="262" spans="1:5" x14ac:dyDescent="0.25">
      <c r="A262" t="s">
        <v>522</v>
      </c>
      <c r="B262" s="1" t="str">
        <f>HYPERLINK("http://www.ncbi.nlm.nih.gov/pubmed/?term=Ltbp3", "Ltbp3")</f>
        <v>Ltbp3</v>
      </c>
      <c r="C262" s="4">
        <v>5.59</v>
      </c>
      <c r="D262" s="20">
        <v>4.1109999999999998</v>
      </c>
      <c r="E262" s="11">
        <v>1.722</v>
      </c>
    </row>
    <row r="263" spans="1:5" x14ac:dyDescent="0.25">
      <c r="A263" t="s">
        <v>235</v>
      </c>
      <c r="B263" s="1" t="str">
        <f>HYPERLINK("http://www.ncbi.nlm.nih.gov/pubmed/?term=Ide", "Ide")</f>
        <v>Ide</v>
      </c>
      <c r="C263" s="4">
        <v>5.6630000000000003</v>
      </c>
      <c r="D263" s="20">
        <v>4.4349999999999996</v>
      </c>
      <c r="E263" s="22">
        <v>3.7829999999999999</v>
      </c>
    </row>
    <row r="264" spans="1:5" x14ac:dyDescent="0.25">
      <c r="A264" t="s">
        <v>1056</v>
      </c>
      <c r="B264" s="1" t="str">
        <f>HYPERLINK("http://www.ncbi.nlm.nih.gov/pubmed/?term=Grap2", "Grap2")</f>
        <v>Grap2</v>
      </c>
      <c r="C264" s="20">
        <v>4.7320000000000002</v>
      </c>
      <c r="D264" s="12">
        <v>0.45860000000000001</v>
      </c>
      <c r="E264" s="12">
        <v>-0.81830000000000003</v>
      </c>
    </row>
    <row r="265" spans="1:5" x14ac:dyDescent="0.25">
      <c r="A265" t="s">
        <v>963</v>
      </c>
      <c r="B265" s="1" t="str">
        <f>HYPERLINK("http://www.ncbi.nlm.nih.gov/pubmed/?term=Dars", "Dars")</f>
        <v>Dars</v>
      </c>
      <c r="C265" s="4">
        <v>5.6760000000000002</v>
      </c>
      <c r="D265" s="20">
        <v>4.556</v>
      </c>
      <c r="E265" s="20">
        <v>4.4390000000000001</v>
      </c>
    </row>
    <row r="266" spans="1:5" x14ac:dyDescent="0.25">
      <c r="A266" t="s">
        <v>218</v>
      </c>
      <c r="B266" s="1" t="str">
        <f>HYPERLINK("http://www.ncbi.nlm.nih.gov/pubmed/?term=Plxdc2", "Plxdc2")</f>
        <v>Plxdc2</v>
      </c>
      <c r="C266" s="4">
        <v>5.5650000000000004</v>
      </c>
      <c r="D266" s="20">
        <v>4.0970000000000004</v>
      </c>
      <c r="E266" s="12">
        <v>0.49969999999999998</v>
      </c>
    </row>
    <row r="267" spans="1:5" x14ac:dyDescent="0.25">
      <c r="A267" t="s">
        <v>1510</v>
      </c>
      <c r="B267" s="1" t="str">
        <f>HYPERLINK("http://www.ncbi.nlm.nih.gov/pubmed/?term=Oxct1", "Oxct1")</f>
        <v>Oxct1</v>
      </c>
      <c r="C267" s="4">
        <v>5.6820000000000004</v>
      </c>
      <c r="D267" s="20">
        <v>4.665</v>
      </c>
      <c r="E267" s="22">
        <v>3.6179999999999999</v>
      </c>
    </row>
    <row r="268" spans="1:5" x14ac:dyDescent="0.25">
      <c r="A268" t="s">
        <v>108</v>
      </c>
      <c r="B268" s="1" t="str">
        <f>HYPERLINK("http://www.ncbi.nlm.nih.gov/pubmed/?term=Tepp", "Tepp")</f>
        <v>Tepp</v>
      </c>
      <c r="C268" s="20">
        <v>4.9189999999999996</v>
      </c>
      <c r="D268" s="11">
        <v>1.407</v>
      </c>
      <c r="E268" s="12">
        <v>0.6784</v>
      </c>
    </row>
    <row r="269" spans="1:5" x14ac:dyDescent="0.25">
      <c r="A269" t="s">
        <v>1884</v>
      </c>
      <c r="B269" s="1" t="str">
        <f>HYPERLINK("http://www.ncbi.nlm.nih.gov/pubmed/?term=Tom1l1", "Tom1l1")</f>
        <v>Tom1l1</v>
      </c>
      <c r="C269" s="4">
        <v>5.51</v>
      </c>
      <c r="D269" s="20">
        <v>4.008</v>
      </c>
      <c r="E269" s="22">
        <v>3.5449999999999999</v>
      </c>
    </row>
    <row r="270" spans="1:5" x14ac:dyDescent="0.25">
      <c r="A270" t="s">
        <v>1627</v>
      </c>
      <c r="B270" s="1" t="str">
        <f>HYPERLINK("http://www.ncbi.nlm.nih.gov/pubmed/?term=Bhlhb9", "Bhlhb9")</f>
        <v>Bhlhb9</v>
      </c>
      <c r="C270" s="4">
        <v>5.4189999999999996</v>
      </c>
      <c r="D270" s="22">
        <v>3.6749999999999998</v>
      </c>
      <c r="E270" s="22">
        <v>3.66</v>
      </c>
    </row>
    <row r="271" spans="1:5" x14ac:dyDescent="0.25">
      <c r="A271" t="s">
        <v>880</v>
      </c>
      <c r="B271" s="1" t="str">
        <f>HYPERLINK("http://www.ncbi.nlm.nih.gov/pubmed/?term=Fam69a", "Fam69a")</f>
        <v>Fam69a</v>
      </c>
      <c r="C271" s="4">
        <v>5.5679999999999996</v>
      </c>
      <c r="D271" s="20">
        <v>4.3209999999999997</v>
      </c>
      <c r="E271" s="11">
        <v>1.6850000000000001</v>
      </c>
    </row>
    <row r="272" spans="1:5" x14ac:dyDescent="0.25">
      <c r="A272" t="s">
        <v>588</v>
      </c>
      <c r="B272" s="1" t="str">
        <f>HYPERLINK("http://www.ncbi.nlm.nih.gov/pubmed/?term=Clec11a", "Clec11a")</f>
        <v>Clec11a</v>
      </c>
      <c r="C272" s="20">
        <v>4.5599999999999996</v>
      </c>
      <c r="D272" s="12">
        <v>-8.9990000000000001E-2</v>
      </c>
      <c r="E272" s="12">
        <v>-2.3969999999999998</v>
      </c>
    </row>
    <row r="273" spans="1:5" x14ac:dyDescent="0.25">
      <c r="A273" t="s">
        <v>22</v>
      </c>
      <c r="B273" s="1" t="str">
        <f>HYPERLINK("http://www.ncbi.nlm.nih.gov/pubmed/?term=Dbndd2", "Dbndd2")</f>
        <v>Dbndd2</v>
      </c>
      <c r="C273" s="4">
        <v>5.4420000000000002</v>
      </c>
      <c r="D273" s="22">
        <v>3.847</v>
      </c>
      <c r="E273" s="3">
        <v>2.673</v>
      </c>
    </row>
    <row r="274" spans="1:5" x14ac:dyDescent="0.25">
      <c r="A274" t="s">
        <v>396</v>
      </c>
      <c r="B274" s="1" t="str">
        <f>HYPERLINK("http://www.ncbi.nlm.nih.gov/pubmed/?term=Eif1a", "Eif1a")</f>
        <v>Eif1a</v>
      </c>
      <c r="C274" s="4">
        <v>5.5860000000000003</v>
      </c>
      <c r="D274" s="20">
        <v>4.2430000000000003</v>
      </c>
      <c r="E274" s="20">
        <v>4.4809999999999999</v>
      </c>
    </row>
    <row r="275" spans="1:5" x14ac:dyDescent="0.25">
      <c r="A275" t="s">
        <v>316</v>
      </c>
      <c r="B275" s="1" t="str">
        <f>HYPERLINK("http://www.ncbi.nlm.nih.gov/pubmed/?term=Tcf4", "Tcf4")</f>
        <v>Tcf4</v>
      </c>
      <c r="C275" s="4">
        <v>5.5919999999999996</v>
      </c>
      <c r="D275" s="20">
        <v>4.5090000000000003</v>
      </c>
      <c r="E275" s="22">
        <v>3.222</v>
      </c>
    </row>
    <row r="276" spans="1:5" x14ac:dyDescent="0.25">
      <c r="A276" t="s">
        <v>1181</v>
      </c>
      <c r="B276" s="1" t="str">
        <f>HYPERLINK("http://www.ncbi.nlm.nih.gov/pubmed/?term=Tmem184b", "Tmem184b")</f>
        <v>Tmem184b</v>
      </c>
      <c r="C276" s="4">
        <v>5.5570000000000004</v>
      </c>
      <c r="D276" s="20">
        <v>4.242</v>
      </c>
      <c r="E276" s="20">
        <v>4.3600000000000003</v>
      </c>
    </row>
    <row r="277" spans="1:5" x14ac:dyDescent="0.25">
      <c r="A277" t="s">
        <v>237</v>
      </c>
      <c r="B277" s="1" t="str">
        <f>HYPERLINK("http://www.ncbi.nlm.nih.gov/pubmed/?term=Creb3l2", "Creb3l2")</f>
        <v>Creb3l2</v>
      </c>
      <c r="C277" s="4">
        <v>5.3940000000000001</v>
      </c>
      <c r="D277" s="22">
        <v>3.6669999999999998</v>
      </c>
      <c r="E277" s="22">
        <v>3.407</v>
      </c>
    </row>
    <row r="278" spans="1:5" x14ac:dyDescent="0.25">
      <c r="A278" t="s">
        <v>2045</v>
      </c>
      <c r="B278" s="1" t="str">
        <f>HYPERLINK("http://www.ncbi.nlm.nih.gov/pubmed/?term=Eif4g3", "Eif4g3")</f>
        <v>Eif4g3</v>
      </c>
      <c r="C278" s="4">
        <v>5.5890000000000004</v>
      </c>
      <c r="D278" s="20">
        <v>4.5679999999999996</v>
      </c>
      <c r="E278" s="22">
        <v>3.1139999999999999</v>
      </c>
    </row>
    <row r="279" spans="1:5" x14ac:dyDescent="0.25">
      <c r="A279" t="s">
        <v>1661</v>
      </c>
      <c r="B279" s="1" t="str">
        <f>HYPERLINK("http://www.ncbi.nlm.nih.gov/pubmed/?term=Pccb", "Pccb")</f>
        <v>Pccb</v>
      </c>
      <c r="C279" s="4">
        <v>5.58</v>
      </c>
      <c r="D279" s="20">
        <v>4.1669999999999998</v>
      </c>
      <c r="E279" s="20">
        <v>4.5670000000000002</v>
      </c>
    </row>
    <row r="280" spans="1:5" x14ac:dyDescent="0.25">
      <c r="A280" t="s">
        <v>131</v>
      </c>
      <c r="B280" s="1" t="str">
        <f>HYPERLINK("http://www.ncbi.nlm.nih.gov/pubmed/?term=Hdac7", "Hdac7")</f>
        <v>Hdac7</v>
      </c>
      <c r="C280" s="4">
        <v>5.3559999999999999</v>
      </c>
      <c r="D280" s="22">
        <v>3.5979999999999999</v>
      </c>
      <c r="E280" s="3">
        <v>2.3050000000000002</v>
      </c>
    </row>
    <row r="281" spans="1:5" x14ac:dyDescent="0.25">
      <c r="A281" t="s">
        <v>2053</v>
      </c>
      <c r="B281" s="1" t="str">
        <f>HYPERLINK("http://www.ncbi.nlm.nih.gov/pubmed/?term=Lgi2", "Lgi2")</f>
        <v>Lgi2</v>
      </c>
      <c r="C281" s="20">
        <v>4.96</v>
      </c>
      <c r="D281" s="11">
        <v>1.893</v>
      </c>
      <c r="E281" s="12">
        <v>3.7780000000000001E-2</v>
      </c>
    </row>
    <row r="282" spans="1:5" x14ac:dyDescent="0.25">
      <c r="A282" t="s">
        <v>722</v>
      </c>
      <c r="B282" s="1" t="str">
        <f>HYPERLINK("http://www.ncbi.nlm.nih.gov/pubmed/?term=Txnrd3", "Txnrd3")</f>
        <v>Txnrd3</v>
      </c>
      <c r="C282" s="4">
        <v>5.4109999999999996</v>
      </c>
      <c r="D282" s="22">
        <v>3.573</v>
      </c>
      <c r="E282" s="22">
        <v>3.8969999999999998</v>
      </c>
    </row>
    <row r="283" spans="1:5" x14ac:dyDescent="0.25">
      <c r="A283" t="s">
        <v>1019</v>
      </c>
      <c r="B283" s="1" t="str">
        <f>HYPERLINK("http://www.ncbi.nlm.nih.gov/pubmed/?term=Plekha7", "Plekha7")</f>
        <v>Plekha7</v>
      </c>
      <c r="C283" s="4">
        <v>5.4429999999999996</v>
      </c>
      <c r="D283" s="20">
        <v>4.08</v>
      </c>
      <c r="E283" s="11">
        <v>1.9279999999999999</v>
      </c>
    </row>
    <row r="284" spans="1:5" x14ac:dyDescent="0.25">
      <c r="A284" t="s">
        <v>99</v>
      </c>
      <c r="B284" s="1" t="str">
        <f>HYPERLINK("http://www.ncbi.nlm.nih.gov/pubmed/?term=Ppp2r2a", "Ppp2r2a")</f>
        <v>Ppp2r2a</v>
      </c>
      <c r="C284" s="4">
        <v>5.5229999999999997</v>
      </c>
      <c r="D284" s="20">
        <v>4.4969999999999999</v>
      </c>
      <c r="E284" s="20">
        <v>4.4459999999999997</v>
      </c>
    </row>
    <row r="285" spans="1:5" x14ac:dyDescent="0.25">
      <c r="A285" t="s">
        <v>372</v>
      </c>
      <c r="B285" s="1" t="str">
        <f>HYPERLINK("http://www.ncbi.nlm.nih.gov/pubmed/?term=Asah1", "Asah1")</f>
        <v>Asah1</v>
      </c>
      <c r="C285" s="4">
        <v>5.4329999999999998</v>
      </c>
      <c r="D285" s="20">
        <v>4.1429999999999998</v>
      </c>
      <c r="E285" s="22">
        <v>3.762</v>
      </c>
    </row>
    <row r="286" spans="1:5" x14ac:dyDescent="0.25">
      <c r="A286" t="s">
        <v>1441</v>
      </c>
      <c r="B286" s="1" t="str">
        <f>HYPERLINK("http://www.ncbi.nlm.nih.gov/pubmed/?term=Acaa2", "Acaa2")</f>
        <v>Acaa2</v>
      </c>
      <c r="C286" s="4">
        <v>5.37</v>
      </c>
      <c r="D286" s="22">
        <v>3.9049999999999998</v>
      </c>
      <c r="E286" s="11">
        <v>1.488</v>
      </c>
    </row>
    <row r="287" spans="1:5" x14ac:dyDescent="0.25">
      <c r="A287" t="s">
        <v>1755</v>
      </c>
      <c r="B287" s="1" t="str">
        <f>HYPERLINK("http://www.ncbi.nlm.nih.gov/pubmed/?term=Galr2", "Galr2")</f>
        <v>Galr2</v>
      </c>
      <c r="C287" s="20">
        <v>4.4660000000000002</v>
      </c>
      <c r="D287" s="12">
        <v>-2.6880000000000002</v>
      </c>
      <c r="E287" s="12">
        <v>-2.8420000000000001</v>
      </c>
    </row>
    <row r="288" spans="1:5" x14ac:dyDescent="0.25">
      <c r="A288" t="s">
        <v>276</v>
      </c>
      <c r="B288" s="1" t="str">
        <f>HYPERLINK("http://www.ncbi.nlm.nih.gov/pubmed/?term=Akr7a5", "Akr7a5")</f>
        <v>Akr7a5</v>
      </c>
      <c r="C288" s="4">
        <v>5.359</v>
      </c>
      <c r="D288" s="22">
        <v>3.7749999999999999</v>
      </c>
      <c r="E288" s="22">
        <v>3.8740000000000001</v>
      </c>
    </row>
    <row r="289" spans="1:5" x14ac:dyDescent="0.25">
      <c r="A289" t="s">
        <v>492</v>
      </c>
      <c r="B289" s="1" t="str">
        <f>HYPERLINK("http://www.ncbi.nlm.nih.gov/pubmed/?term=Tcn2", "Tcn2")</f>
        <v>Tcn2</v>
      </c>
      <c r="C289" s="4">
        <v>5.3840000000000003</v>
      </c>
      <c r="D289" s="22">
        <v>3.8370000000000002</v>
      </c>
      <c r="E289" s="20">
        <v>4.0410000000000004</v>
      </c>
    </row>
    <row r="290" spans="1:5" x14ac:dyDescent="0.25">
      <c r="A290" t="s">
        <v>532</v>
      </c>
      <c r="B290" s="1" t="str">
        <f>HYPERLINK("http://www.ncbi.nlm.nih.gov/pubmed/?term=Ccdc34", "Ccdc34")</f>
        <v>Ccdc34</v>
      </c>
      <c r="C290" s="4">
        <v>5.085</v>
      </c>
      <c r="D290" s="3">
        <v>2.786</v>
      </c>
      <c r="E290" s="3">
        <v>2.4060000000000001</v>
      </c>
    </row>
    <row r="291" spans="1:5" x14ac:dyDescent="0.25">
      <c r="A291" t="s">
        <v>629</v>
      </c>
      <c r="B291" s="1" t="str">
        <f>HYPERLINK("http://www.ncbi.nlm.nih.gov/pubmed/?term=Myo1c", "Myo1c")</f>
        <v>Myo1c</v>
      </c>
      <c r="C291" s="4">
        <v>5.4329999999999998</v>
      </c>
      <c r="D291" s="20">
        <v>4.351</v>
      </c>
      <c r="E291" s="22">
        <v>3.839</v>
      </c>
    </row>
    <row r="292" spans="1:5" x14ac:dyDescent="0.25">
      <c r="A292" t="s">
        <v>1227</v>
      </c>
      <c r="B292" s="1" t="str">
        <f>HYPERLINK("http://www.ncbi.nlm.nih.gov/pubmed/?term=Pax9", "Pax9")</f>
        <v>Pax9</v>
      </c>
      <c r="C292" s="4">
        <v>5.4470000000000001</v>
      </c>
      <c r="D292" s="20">
        <v>4.4249999999999998</v>
      </c>
      <c r="E292" s="22">
        <v>3.9430000000000001</v>
      </c>
    </row>
    <row r="293" spans="1:5" x14ac:dyDescent="0.25">
      <c r="A293" t="s">
        <v>1017</v>
      </c>
      <c r="B293" s="1" t="str">
        <f>HYPERLINK("http://www.ncbi.nlm.nih.gov/pubmed/?term=Usp14", "Usp14")</f>
        <v>Usp14</v>
      </c>
      <c r="C293" s="4">
        <v>5.399</v>
      </c>
      <c r="D293" s="20">
        <v>4.2190000000000003</v>
      </c>
      <c r="E293" s="20">
        <v>4.2050000000000001</v>
      </c>
    </row>
    <row r="294" spans="1:5" x14ac:dyDescent="0.25">
      <c r="A294" t="s">
        <v>1960</v>
      </c>
      <c r="B294" s="1" t="str">
        <f>HYPERLINK("http://www.ncbi.nlm.nih.gov/pubmed/?term=Plau", "Plau")</f>
        <v>Plau</v>
      </c>
      <c r="C294" s="4">
        <v>5.2380000000000004</v>
      </c>
      <c r="D294" s="22">
        <v>3.524</v>
      </c>
      <c r="E294" s="22">
        <v>3.2509999999999999</v>
      </c>
    </row>
    <row r="295" spans="1:5" x14ac:dyDescent="0.25">
      <c r="A295" t="s">
        <v>1964</v>
      </c>
      <c r="B295" s="1" t="str">
        <f>HYPERLINK("http://www.ncbi.nlm.nih.gov/pubmed/?term=Isy1", "Isy1")</f>
        <v>Isy1</v>
      </c>
      <c r="C295" s="4">
        <v>5.3070000000000004</v>
      </c>
      <c r="D295" s="22">
        <v>3.8239999999999998</v>
      </c>
      <c r="E295" s="22">
        <v>3.7240000000000002</v>
      </c>
    </row>
    <row r="296" spans="1:5" x14ac:dyDescent="0.25">
      <c r="A296" t="s">
        <v>1543</v>
      </c>
      <c r="B296" s="1" t="str">
        <f>HYPERLINK("http://www.ncbi.nlm.nih.gov/pubmed/?term=Slco2b1", "Slco2b1")</f>
        <v>Slco2b1</v>
      </c>
      <c r="C296" s="20">
        <v>4.6420000000000003</v>
      </c>
      <c r="D296" s="12">
        <v>0.98119999999999996</v>
      </c>
      <c r="E296" s="12">
        <v>-6.3460000000000003E-2</v>
      </c>
    </row>
    <row r="297" spans="1:5" x14ac:dyDescent="0.25">
      <c r="A297" t="s">
        <v>1036</v>
      </c>
      <c r="B297" s="1" t="str">
        <f>HYPERLINK("http://www.ncbi.nlm.nih.gov/pubmed/?term=Satb1", "Satb1")</f>
        <v>Satb1</v>
      </c>
      <c r="C297" s="4">
        <v>5.0990000000000002</v>
      </c>
      <c r="D297" s="3">
        <v>2.8860000000000001</v>
      </c>
      <c r="E297" s="3">
        <v>2.972</v>
      </c>
    </row>
    <row r="298" spans="1:5" x14ac:dyDescent="0.25">
      <c r="A298" t="s">
        <v>75</v>
      </c>
      <c r="B298" s="1" t="str">
        <f>HYPERLINK("http://www.ncbi.nlm.nih.gov/pubmed/?term=Maf", "Maf")</f>
        <v>Maf</v>
      </c>
      <c r="C298" s="4">
        <v>5.1340000000000003</v>
      </c>
      <c r="D298" s="3">
        <v>2.5590000000000002</v>
      </c>
      <c r="E298" s="22">
        <v>3.1789999999999998</v>
      </c>
    </row>
    <row r="299" spans="1:5" x14ac:dyDescent="0.25">
      <c r="A299" t="s">
        <v>699</v>
      </c>
      <c r="B299" s="1" t="str">
        <f>HYPERLINK("http://www.ncbi.nlm.nih.gov/pubmed/?term=Ppp2r5a", "Ppp2r5a")</f>
        <v>Ppp2r5a</v>
      </c>
      <c r="C299" s="4">
        <v>5.3620000000000001</v>
      </c>
      <c r="D299" s="20">
        <v>4.0039999999999996</v>
      </c>
      <c r="E299" s="20">
        <v>4.1689999999999996</v>
      </c>
    </row>
    <row r="300" spans="1:5" x14ac:dyDescent="0.25">
      <c r="A300" t="s">
        <v>893</v>
      </c>
      <c r="B300" s="1" t="str">
        <f>HYPERLINK("http://www.ncbi.nlm.nih.gov/pubmed/?term=Farp1", "Farp1")</f>
        <v>Farp1</v>
      </c>
      <c r="C300" s="4">
        <v>5.2590000000000003</v>
      </c>
      <c r="D300" s="22">
        <v>3.734</v>
      </c>
      <c r="E300" s="3">
        <v>2.4049999999999998</v>
      </c>
    </row>
    <row r="301" spans="1:5" x14ac:dyDescent="0.25">
      <c r="A301" t="s">
        <v>1338</v>
      </c>
      <c r="B301" s="1" t="str">
        <f>HYPERLINK("http://www.ncbi.nlm.nih.gov/pubmed/?term=Smc4", "Smc4")</f>
        <v>Smc4</v>
      </c>
      <c r="C301" s="4">
        <v>5.39</v>
      </c>
      <c r="D301" s="22">
        <v>3.85</v>
      </c>
      <c r="E301" s="20">
        <v>4.298</v>
      </c>
    </row>
    <row r="302" spans="1:5" x14ac:dyDescent="0.25">
      <c r="A302" t="s">
        <v>89</v>
      </c>
      <c r="B302" s="1" t="str">
        <f>HYPERLINK("http://www.ncbi.nlm.nih.gov/pubmed/?term=Ednrb", "Ednrb")</f>
        <v>Ednrb</v>
      </c>
      <c r="C302" s="20">
        <v>4.3949999999999996</v>
      </c>
      <c r="D302" s="12">
        <v>-1.9339999999999999</v>
      </c>
      <c r="E302" s="12">
        <v>-2.569</v>
      </c>
    </row>
    <row r="303" spans="1:5" x14ac:dyDescent="0.25">
      <c r="A303" t="s">
        <v>145</v>
      </c>
      <c r="B303" s="1" t="str">
        <f>HYPERLINK("http://www.ncbi.nlm.nih.gov/pubmed/?term=A230050P20Rik", "A230050P20Rik")</f>
        <v>A230050P20Rik</v>
      </c>
      <c r="C303" s="4">
        <v>5.3449999999999998</v>
      </c>
      <c r="D303" s="20">
        <v>4.1109999999999998</v>
      </c>
      <c r="E303" s="22">
        <v>3.0190000000000001</v>
      </c>
    </row>
    <row r="304" spans="1:5" x14ac:dyDescent="0.25">
      <c r="A304" t="s">
        <v>796</v>
      </c>
      <c r="B304" s="1" t="str">
        <f>HYPERLINK("http://www.ncbi.nlm.nih.gov/pubmed/?term=Mylk", "Mylk")</f>
        <v>Mylk</v>
      </c>
      <c r="C304" s="20">
        <v>4.83</v>
      </c>
      <c r="D304" s="11">
        <v>1.522</v>
      </c>
      <c r="E304" s="11">
        <v>1.887</v>
      </c>
    </row>
    <row r="305" spans="1:5" x14ac:dyDescent="0.25">
      <c r="A305" t="s">
        <v>187</v>
      </c>
      <c r="B305" s="1" t="str">
        <f>HYPERLINK("http://www.ncbi.nlm.nih.gov/pubmed/?term=Atpaf1", "Atpaf1")</f>
        <v>Atpaf1</v>
      </c>
      <c r="C305" s="4">
        <v>5.274</v>
      </c>
      <c r="D305" s="22">
        <v>3.7429999999999999</v>
      </c>
      <c r="E305" s="22">
        <v>3.8130000000000002</v>
      </c>
    </row>
    <row r="306" spans="1:5" x14ac:dyDescent="0.25">
      <c r="A306" t="s">
        <v>2023</v>
      </c>
      <c r="B306" s="1" t="str">
        <f>HYPERLINK("http://www.ncbi.nlm.nih.gov/pubmed/?term=Lpar1", "Lpar1")</f>
        <v>Lpar1</v>
      </c>
      <c r="C306" s="4">
        <v>5.3970000000000002</v>
      </c>
      <c r="D306" s="20">
        <v>4.3579999999999997</v>
      </c>
      <c r="E306" s="3">
        <v>2.9340000000000002</v>
      </c>
    </row>
    <row r="307" spans="1:5" x14ac:dyDescent="0.25">
      <c r="A307" t="s">
        <v>755</v>
      </c>
      <c r="B307" s="1" t="str">
        <f>HYPERLINK("http://www.ncbi.nlm.nih.gov/pubmed/?term=Bicd2", "Bicd2")</f>
        <v>Bicd2</v>
      </c>
      <c r="C307" s="4">
        <v>5.2409999999999997</v>
      </c>
      <c r="D307" s="22">
        <v>3.6549999999999998</v>
      </c>
      <c r="E307" s="22">
        <v>3.6920000000000002</v>
      </c>
    </row>
    <row r="308" spans="1:5" x14ac:dyDescent="0.25">
      <c r="A308" t="s">
        <v>746</v>
      </c>
      <c r="B308" s="1" t="str">
        <f>HYPERLINK("http://www.ncbi.nlm.nih.gov/pubmed/?term=Pik3ip1", "Pik3ip1")</f>
        <v>Pik3ip1</v>
      </c>
      <c r="C308" s="4">
        <v>5.3570000000000002</v>
      </c>
      <c r="D308" s="20">
        <v>4.21</v>
      </c>
      <c r="E308" s="3">
        <v>2.0259999999999998</v>
      </c>
    </row>
    <row r="309" spans="1:5" x14ac:dyDescent="0.25">
      <c r="A309" t="s">
        <v>1058</v>
      </c>
      <c r="B309" s="1" t="str">
        <f>HYPERLINK("http://www.ncbi.nlm.nih.gov/pubmed/?term=Dhx29", "Dhx29")</f>
        <v>Dhx29</v>
      </c>
      <c r="C309" s="4">
        <v>5.1639999999999997</v>
      </c>
      <c r="D309" s="22">
        <v>3.39</v>
      </c>
      <c r="E309" s="22">
        <v>3.1070000000000002</v>
      </c>
    </row>
    <row r="310" spans="1:5" x14ac:dyDescent="0.25">
      <c r="A310" t="s">
        <v>1442</v>
      </c>
      <c r="B310" s="1" t="str">
        <f>HYPERLINK("http://www.ncbi.nlm.nih.gov/pubmed/?term=Jub", "Jub")</f>
        <v>Jub</v>
      </c>
      <c r="C310" s="4">
        <v>5.3769999999999998</v>
      </c>
      <c r="D310" s="20">
        <v>4.343</v>
      </c>
      <c r="E310" s="11">
        <v>1.097</v>
      </c>
    </row>
    <row r="311" spans="1:5" x14ac:dyDescent="0.25">
      <c r="A311" t="s">
        <v>1188</v>
      </c>
      <c r="B311" s="1" t="str">
        <f>HYPERLINK("http://www.ncbi.nlm.nih.gov/pubmed/?term=Slc11a2", "Slc11a2")</f>
        <v>Slc11a2</v>
      </c>
      <c r="C311" s="4">
        <v>5.14</v>
      </c>
      <c r="D311" s="22">
        <v>3.3260000000000001</v>
      </c>
      <c r="E311" s="3">
        <v>2.34</v>
      </c>
    </row>
    <row r="312" spans="1:5" x14ac:dyDescent="0.25">
      <c r="A312" t="s">
        <v>332</v>
      </c>
      <c r="B312" s="1" t="str">
        <f>HYPERLINK("http://www.ncbi.nlm.nih.gov/pubmed/?term=Vmac", "Vmac")</f>
        <v>Vmac</v>
      </c>
      <c r="C312" s="4">
        <v>5.258</v>
      </c>
      <c r="D312" s="22">
        <v>3.8540000000000001</v>
      </c>
      <c r="E312" s="3">
        <v>2.5750000000000002</v>
      </c>
    </row>
    <row r="313" spans="1:5" x14ac:dyDescent="0.25">
      <c r="A313" t="s">
        <v>133</v>
      </c>
      <c r="B313" s="1" t="str">
        <f>HYPERLINK("http://www.ncbi.nlm.nih.gov/pubmed/?term=Bach1", "Bach1")</f>
        <v>Bach1</v>
      </c>
      <c r="C313" s="4">
        <v>5.3460000000000001</v>
      </c>
      <c r="D313" s="20">
        <v>4.2530000000000001</v>
      </c>
      <c r="E313" s="20">
        <v>4.0739999999999998</v>
      </c>
    </row>
    <row r="314" spans="1:5" x14ac:dyDescent="0.25">
      <c r="A314" t="s">
        <v>1679</v>
      </c>
      <c r="B314" s="1" t="str">
        <f>HYPERLINK("http://www.ncbi.nlm.nih.gov/pubmed/?term=Spc25", "Spc25")</f>
        <v>Spc25</v>
      </c>
      <c r="C314" s="4">
        <v>5.2640000000000002</v>
      </c>
      <c r="D314" s="11">
        <v>1.7669999999999999</v>
      </c>
      <c r="E314" s="22">
        <v>3.927</v>
      </c>
    </row>
    <row r="315" spans="1:5" x14ac:dyDescent="0.25">
      <c r="A315" t="s">
        <v>291</v>
      </c>
      <c r="B315" s="1" t="str">
        <f>HYPERLINK("http://www.ncbi.nlm.nih.gov/pubmed/?term=Tollip", "Tollip")</f>
        <v>Tollip</v>
      </c>
      <c r="C315" s="4">
        <v>5.2679999999999998</v>
      </c>
      <c r="D315" s="22">
        <v>3.9860000000000002</v>
      </c>
      <c r="E315" s="22">
        <v>3.9350000000000001</v>
      </c>
    </row>
    <row r="316" spans="1:5" x14ac:dyDescent="0.25">
      <c r="A316" t="s">
        <v>1993</v>
      </c>
      <c r="B316" s="1" t="str">
        <f>HYPERLINK("http://www.ncbi.nlm.nih.gov/pubmed/?term=BC017612", "BC017612")</f>
        <v>BC017612</v>
      </c>
      <c r="C316" s="20">
        <v>4.8490000000000002</v>
      </c>
      <c r="D316" s="3">
        <v>2.1789999999999998</v>
      </c>
      <c r="E316" s="11">
        <v>1.712</v>
      </c>
    </row>
    <row r="317" spans="1:5" x14ac:dyDescent="0.25">
      <c r="A317" t="s">
        <v>2044</v>
      </c>
      <c r="B317" s="1" t="str">
        <f>HYPERLINK("http://www.ncbi.nlm.nih.gov/pubmed/?term=Ccdc80", "Ccdc80")</f>
        <v>Ccdc80</v>
      </c>
      <c r="C317" s="4">
        <v>5.2270000000000003</v>
      </c>
      <c r="D317" s="22">
        <v>3.867</v>
      </c>
      <c r="E317" s="12">
        <v>0.88970000000000005</v>
      </c>
    </row>
    <row r="318" spans="1:5" x14ac:dyDescent="0.25">
      <c r="A318" t="s">
        <v>260</v>
      </c>
      <c r="B318" s="1" t="str">
        <f>HYPERLINK("http://www.ncbi.nlm.nih.gov/pubmed/?term=Tars", "Tars")</f>
        <v>Tars</v>
      </c>
      <c r="C318" s="4">
        <v>5.3209999999999997</v>
      </c>
      <c r="D318" s="20">
        <v>4.2919999999999998</v>
      </c>
      <c r="E318" s="20">
        <v>4.1260000000000003</v>
      </c>
    </row>
    <row r="319" spans="1:5" x14ac:dyDescent="0.25">
      <c r="A319" t="s">
        <v>1100</v>
      </c>
      <c r="B319" s="1" t="str">
        <f>HYPERLINK("http://www.ncbi.nlm.nih.gov/pubmed/?term=Txnl1", "Txnl1")</f>
        <v>Txnl1</v>
      </c>
      <c r="C319" s="4">
        <v>5.3029999999999999</v>
      </c>
      <c r="D319" s="20">
        <v>4.2229999999999999</v>
      </c>
      <c r="E319" s="22">
        <v>3.8740000000000001</v>
      </c>
    </row>
    <row r="320" spans="1:5" x14ac:dyDescent="0.25">
      <c r="A320" t="s">
        <v>703</v>
      </c>
      <c r="B320" s="1" t="str">
        <f>HYPERLINK("http://www.ncbi.nlm.nih.gov/pubmed/?term=Tef", "Tef")</f>
        <v>Tef</v>
      </c>
      <c r="C320" s="4">
        <v>5.1689999999999996</v>
      </c>
      <c r="D320" s="22">
        <v>3.6640000000000001</v>
      </c>
      <c r="E320" s="22">
        <v>3.61</v>
      </c>
    </row>
    <row r="321" spans="1:5" x14ac:dyDescent="0.25">
      <c r="A321" t="s">
        <v>1331</v>
      </c>
      <c r="B321" s="1" t="str">
        <f>HYPERLINK("http://www.ncbi.nlm.nih.gov/pubmed/?term=Cobll1", "Cobll1")</f>
        <v>Cobll1</v>
      </c>
      <c r="C321" s="20">
        <v>4.9939999999999998</v>
      </c>
      <c r="D321" s="3">
        <v>2.95</v>
      </c>
      <c r="E321" s="11">
        <v>1.4219999999999999</v>
      </c>
    </row>
    <row r="322" spans="1:5" x14ac:dyDescent="0.25">
      <c r="A322" t="s">
        <v>2</v>
      </c>
      <c r="B322" s="1" t="str">
        <f>HYPERLINK("http://www.ncbi.nlm.nih.gov/pubmed/?term=Cuedc1", "Cuedc1")</f>
        <v>Cuedc1</v>
      </c>
      <c r="C322" s="4">
        <v>5.1289999999999996</v>
      </c>
      <c r="D322" s="22">
        <v>3.5710000000000002</v>
      </c>
      <c r="E322" s="11">
        <v>1.8879999999999999</v>
      </c>
    </row>
    <row r="323" spans="1:5" x14ac:dyDescent="0.25">
      <c r="A323" t="s">
        <v>1389</v>
      </c>
      <c r="B323" s="1" t="str">
        <f>HYPERLINK("http://www.ncbi.nlm.nih.gov/pubmed/?term=Rbfox2", "Rbfox2")</f>
        <v>Rbfox2</v>
      </c>
      <c r="C323" s="4">
        <v>5.1989999999999998</v>
      </c>
      <c r="D323" s="22">
        <v>3.9420000000000002</v>
      </c>
      <c r="E323" s="22">
        <v>3.1019999999999999</v>
      </c>
    </row>
    <row r="324" spans="1:5" x14ac:dyDescent="0.25">
      <c r="A324" t="s">
        <v>1686</v>
      </c>
      <c r="B324" s="1" t="str">
        <f>HYPERLINK("http://www.ncbi.nlm.nih.gov/pubmed/?term=Frmd4a", "Frmd4a")</f>
        <v>Frmd4a</v>
      </c>
      <c r="C324" s="4">
        <v>5.0789999999999997</v>
      </c>
      <c r="D324" s="22">
        <v>3.4470000000000001</v>
      </c>
      <c r="E324" s="3">
        <v>2.2879999999999998</v>
      </c>
    </row>
    <row r="325" spans="1:5" x14ac:dyDescent="0.25">
      <c r="A325" t="s">
        <v>1358</v>
      </c>
      <c r="B325" s="1" t="str">
        <f>HYPERLINK("http://www.ncbi.nlm.nih.gov/pubmed/?term=Ada", "Ada")</f>
        <v>Ada</v>
      </c>
      <c r="C325" s="20">
        <v>4.8929999999999998</v>
      </c>
      <c r="D325" s="11">
        <v>1.4059999999999999</v>
      </c>
      <c r="E325" s="3">
        <v>2.6459999999999999</v>
      </c>
    </row>
    <row r="326" spans="1:5" x14ac:dyDescent="0.25">
      <c r="A326" t="s">
        <v>1563</v>
      </c>
      <c r="B326" s="1" t="str">
        <f>HYPERLINK("http://www.ncbi.nlm.nih.gov/pubmed/?term=Lrp6", "Lrp6")</f>
        <v>Lrp6</v>
      </c>
      <c r="C326" s="4">
        <v>5.2249999999999996</v>
      </c>
      <c r="D326" s="22">
        <v>3.976</v>
      </c>
      <c r="E326" s="20">
        <v>4.08</v>
      </c>
    </row>
    <row r="327" spans="1:5" x14ac:dyDescent="0.25">
      <c r="A327" t="s">
        <v>483</v>
      </c>
      <c r="B327" s="1" t="str">
        <f>HYPERLINK("http://www.ncbi.nlm.nih.gov/pubmed/?term=Adprhl2", "Adprhl2")</f>
        <v>Adprhl2</v>
      </c>
      <c r="C327" s="4">
        <v>5.1790000000000003</v>
      </c>
      <c r="D327" s="22">
        <v>3.887</v>
      </c>
      <c r="E327" s="22">
        <v>3.73</v>
      </c>
    </row>
    <row r="328" spans="1:5" x14ac:dyDescent="0.25">
      <c r="A328" t="s">
        <v>776</v>
      </c>
      <c r="B328" s="1" t="str">
        <f>HYPERLINK("http://www.ncbi.nlm.nih.gov/pubmed/?term=1700020C07Rik", "1700020C07Rik")</f>
        <v>1700020C07Rik</v>
      </c>
      <c r="C328" s="20">
        <v>4.2549999999999999</v>
      </c>
      <c r="D328" s="12">
        <v>-1.381</v>
      </c>
      <c r="E328" s="12">
        <v>-3.282</v>
      </c>
    </row>
    <row r="329" spans="1:5" x14ac:dyDescent="0.25">
      <c r="A329" t="s">
        <v>1406</v>
      </c>
      <c r="B329" s="1" t="str">
        <f>HYPERLINK("http://www.ncbi.nlm.nih.gov/pubmed/?term=Setd7", "Setd7")</f>
        <v>Setd7</v>
      </c>
      <c r="C329" s="4">
        <v>5.0380000000000003</v>
      </c>
      <c r="D329" s="22">
        <v>3.3969999999999998</v>
      </c>
      <c r="E329" s="11">
        <v>1.2989999999999999</v>
      </c>
    </row>
    <row r="330" spans="1:5" x14ac:dyDescent="0.25">
      <c r="A330" t="s">
        <v>5</v>
      </c>
      <c r="B330" s="1" t="str">
        <f>HYPERLINK("http://www.ncbi.nlm.nih.gov/pubmed/?term=Irs2", "Irs2")</f>
        <v>Irs2</v>
      </c>
      <c r="C330" s="4">
        <v>5.1150000000000002</v>
      </c>
      <c r="D330" s="22">
        <v>3.7370000000000001</v>
      </c>
      <c r="E330" s="22">
        <v>3.4209999999999998</v>
      </c>
    </row>
    <row r="331" spans="1:5" x14ac:dyDescent="0.25">
      <c r="A331" t="s">
        <v>952</v>
      </c>
      <c r="B331" s="1" t="str">
        <f>HYPERLINK("http://www.ncbi.nlm.nih.gov/pubmed/?term=Lmnb1", "Lmnb1")</f>
        <v>Lmnb1</v>
      </c>
      <c r="C331" s="4">
        <v>5.1820000000000004</v>
      </c>
      <c r="D331" s="22">
        <v>3.9460000000000002</v>
      </c>
      <c r="E331" s="20">
        <v>4.0439999999999996</v>
      </c>
    </row>
    <row r="332" spans="1:5" x14ac:dyDescent="0.25">
      <c r="A332" t="s">
        <v>573</v>
      </c>
      <c r="B332" s="1" t="str">
        <f>HYPERLINK("http://www.ncbi.nlm.nih.gov/pubmed/?term=Hs2st1", "Hs2st1")</f>
        <v>Hs2st1</v>
      </c>
      <c r="C332" s="4">
        <v>5.15</v>
      </c>
      <c r="D332" s="22">
        <v>3.8610000000000002</v>
      </c>
      <c r="E332" s="22">
        <v>3.9390000000000001</v>
      </c>
    </row>
    <row r="333" spans="1:5" x14ac:dyDescent="0.25">
      <c r="A333" t="s">
        <v>1765</v>
      </c>
      <c r="B333" s="1" t="str">
        <f>HYPERLINK("http://www.ncbi.nlm.nih.gov/pubmed/?term=Gprasp1", "Gprasp1")</f>
        <v>Gprasp1</v>
      </c>
      <c r="C333" s="20">
        <v>4.9950000000000001</v>
      </c>
      <c r="D333" s="22">
        <v>3.3079999999999998</v>
      </c>
      <c r="E333" s="3">
        <v>2.0150000000000001</v>
      </c>
    </row>
    <row r="334" spans="1:5" x14ac:dyDescent="0.25">
      <c r="A334" t="s">
        <v>676</v>
      </c>
      <c r="B334" s="1" t="str">
        <f>HYPERLINK("http://www.ncbi.nlm.nih.gov/pubmed/?term=Nphp1", "Nphp1")</f>
        <v>Nphp1</v>
      </c>
      <c r="C334" s="20">
        <v>4.9829999999999997</v>
      </c>
      <c r="D334" s="22">
        <v>3.2549999999999999</v>
      </c>
      <c r="E334" s="11">
        <v>1.958</v>
      </c>
    </row>
    <row r="335" spans="1:5" x14ac:dyDescent="0.25">
      <c r="A335" t="s">
        <v>977</v>
      </c>
      <c r="B335" s="1" t="str">
        <f>HYPERLINK("http://www.ncbi.nlm.nih.gov/pubmed/?term=Ttc23", "Ttc23")</f>
        <v>Ttc23</v>
      </c>
      <c r="C335" s="4">
        <v>5.0910000000000002</v>
      </c>
      <c r="D335" s="22">
        <v>3.7370000000000001</v>
      </c>
      <c r="E335" s="22">
        <v>3.6629999999999998</v>
      </c>
    </row>
    <row r="336" spans="1:5" x14ac:dyDescent="0.25">
      <c r="A336" t="s">
        <v>1859</v>
      </c>
      <c r="B336" s="1" t="str">
        <f>HYPERLINK("http://www.ncbi.nlm.nih.gov/pubmed/?term=Aldh9a1", "Aldh9a1")</f>
        <v>Aldh9a1</v>
      </c>
      <c r="C336" s="4">
        <v>5.0529999999999999</v>
      </c>
      <c r="D336" s="22">
        <v>3.5739999999999998</v>
      </c>
      <c r="E336" s="22">
        <v>3.59</v>
      </c>
    </row>
    <row r="337" spans="1:5" x14ac:dyDescent="0.25">
      <c r="A337" t="s">
        <v>867</v>
      </c>
      <c r="B337" s="1" t="str">
        <f>HYPERLINK("http://www.ncbi.nlm.nih.gov/pubmed/?term=Dtnbp1", "Dtnbp1")</f>
        <v>Dtnbp1</v>
      </c>
      <c r="C337" s="4">
        <v>5.133</v>
      </c>
      <c r="D337" s="22">
        <v>3.9460000000000002</v>
      </c>
      <c r="E337" s="22">
        <v>3.177</v>
      </c>
    </row>
    <row r="338" spans="1:5" x14ac:dyDescent="0.25">
      <c r="A338" t="s">
        <v>1806</v>
      </c>
      <c r="B338" s="1" t="str">
        <f>HYPERLINK("http://www.ncbi.nlm.nih.gov/pubmed/?term=Amotl2", "Amotl2")</f>
        <v>Amotl2</v>
      </c>
      <c r="C338" s="4">
        <v>5.1829999999999998</v>
      </c>
      <c r="D338" s="20">
        <v>4.1639999999999997</v>
      </c>
      <c r="E338" s="11">
        <v>1.9830000000000001</v>
      </c>
    </row>
    <row r="339" spans="1:5" x14ac:dyDescent="0.25">
      <c r="A339" t="s">
        <v>1415</v>
      </c>
      <c r="B339" s="1" t="str">
        <f>HYPERLINK("http://www.ncbi.nlm.nih.gov/pubmed/?term=Kbtbd2", "Kbtbd2")</f>
        <v>Kbtbd2</v>
      </c>
      <c r="C339" s="4">
        <v>5.077</v>
      </c>
      <c r="D339" s="22">
        <v>3.7050000000000001</v>
      </c>
      <c r="E339" s="22">
        <v>3.468</v>
      </c>
    </row>
    <row r="340" spans="1:5" x14ac:dyDescent="0.25">
      <c r="A340" t="s">
        <v>2008</v>
      </c>
      <c r="B340" s="1" t="str">
        <f>HYPERLINK("http://www.ncbi.nlm.nih.gov/pubmed/?term=Rps6ka3", "Rps6ka3")</f>
        <v>Rps6ka3</v>
      </c>
      <c r="C340" s="4">
        <v>5.0490000000000004</v>
      </c>
      <c r="D340" s="22">
        <v>3.4820000000000002</v>
      </c>
      <c r="E340" s="22">
        <v>3.6070000000000002</v>
      </c>
    </row>
    <row r="341" spans="1:5" x14ac:dyDescent="0.25">
      <c r="A341" t="s">
        <v>1089</v>
      </c>
      <c r="B341" s="1" t="str">
        <f>HYPERLINK("http://www.ncbi.nlm.nih.gov/pubmed/?term=Efemp2", "Efemp2")</f>
        <v>Efemp2</v>
      </c>
      <c r="C341" s="20">
        <v>4.9349999999999996</v>
      </c>
      <c r="D341" s="22">
        <v>3.149</v>
      </c>
      <c r="E341" s="12">
        <v>0.15770000000000001</v>
      </c>
    </row>
    <row r="342" spans="1:5" x14ac:dyDescent="0.25">
      <c r="A342" t="s">
        <v>1873</v>
      </c>
      <c r="B342" s="1" t="str">
        <f>HYPERLINK("http://www.ncbi.nlm.nih.gov/pubmed/?term=Gm9851", "Gm9851")</f>
        <v>Gm9851</v>
      </c>
      <c r="C342" s="20">
        <v>4.2060000000000004</v>
      </c>
      <c r="D342" s="12">
        <v>-2.0449999999999999</v>
      </c>
      <c r="E342" s="12">
        <v>-3.7360000000000002</v>
      </c>
    </row>
    <row r="343" spans="1:5" x14ac:dyDescent="0.25">
      <c r="A343" t="s">
        <v>1684</v>
      </c>
      <c r="B343" s="1" t="str">
        <f>HYPERLINK("http://www.ncbi.nlm.nih.gov/pubmed/?term=Ramp3", "Ramp3")</f>
        <v>Ramp3</v>
      </c>
      <c r="C343" s="20">
        <v>4.9329999999999998</v>
      </c>
      <c r="D343" s="12">
        <v>-0.47570000000000001</v>
      </c>
      <c r="E343" s="22">
        <v>3.157</v>
      </c>
    </row>
    <row r="344" spans="1:5" x14ac:dyDescent="0.25">
      <c r="A344" t="s">
        <v>1047</v>
      </c>
      <c r="B344" s="1" t="str">
        <f>HYPERLINK("http://www.ncbi.nlm.nih.gov/pubmed/?term=Rnd3", "Rnd3")</f>
        <v>Rnd3</v>
      </c>
      <c r="C344" s="20">
        <v>4.9210000000000003</v>
      </c>
      <c r="D344" s="22">
        <v>3.109</v>
      </c>
      <c r="E344" s="3">
        <v>2.1230000000000002</v>
      </c>
    </row>
    <row r="345" spans="1:5" x14ac:dyDescent="0.25">
      <c r="A345" t="s">
        <v>1709</v>
      </c>
      <c r="B345" s="1" t="str">
        <f>HYPERLINK("http://www.ncbi.nlm.nih.gov/pubmed/?term=Lck", "Lck")</f>
        <v>Lck</v>
      </c>
      <c r="C345" s="20">
        <v>4.6040000000000001</v>
      </c>
      <c r="D345" s="11">
        <v>1.738</v>
      </c>
      <c r="E345" s="11">
        <v>1.3029999999999999</v>
      </c>
    </row>
    <row r="346" spans="1:5" x14ac:dyDescent="0.25">
      <c r="A346" t="s">
        <v>1434</v>
      </c>
      <c r="B346" s="1" t="str">
        <f>HYPERLINK("http://www.ncbi.nlm.nih.gov/pubmed/?term=Ldlrap1", "Ldlrap1")</f>
        <v>Ldlrap1</v>
      </c>
      <c r="C346" s="4">
        <v>5.0199999999999996</v>
      </c>
      <c r="D346" s="22">
        <v>3.5569999999999999</v>
      </c>
      <c r="E346" s="22">
        <v>3.145</v>
      </c>
    </row>
    <row r="347" spans="1:5" x14ac:dyDescent="0.25">
      <c r="A347" t="s">
        <v>1594</v>
      </c>
      <c r="B347" s="1" t="str">
        <f>HYPERLINK("http://www.ncbi.nlm.nih.gov/pubmed/?term=Tnrc18", "Tnrc18")</f>
        <v>Tnrc18</v>
      </c>
      <c r="C347" s="4">
        <v>5.1180000000000003</v>
      </c>
      <c r="D347" s="20">
        <v>4</v>
      </c>
      <c r="E347" s="3">
        <v>2.8620000000000001</v>
      </c>
    </row>
    <row r="348" spans="1:5" x14ac:dyDescent="0.25">
      <c r="A348" t="s">
        <v>1746</v>
      </c>
      <c r="B348" s="1" t="str">
        <f>HYPERLINK("http://www.ncbi.nlm.nih.gov/pubmed/?term=Blcap", "Blcap")</f>
        <v>Blcap</v>
      </c>
      <c r="C348" s="4">
        <v>5.117</v>
      </c>
      <c r="D348" s="22">
        <v>3.7549999999999999</v>
      </c>
      <c r="E348" s="20">
        <v>4.0190000000000001</v>
      </c>
    </row>
    <row r="349" spans="1:5" x14ac:dyDescent="0.25">
      <c r="A349" t="s">
        <v>425</v>
      </c>
      <c r="B349" s="1" t="str">
        <f>HYPERLINK("http://www.ncbi.nlm.nih.gov/pubmed/?term=Tgfbr3", "Tgfbr3")</f>
        <v>Tgfbr3</v>
      </c>
      <c r="C349" s="20">
        <v>4.5810000000000004</v>
      </c>
      <c r="D349" s="11">
        <v>1.708</v>
      </c>
      <c r="E349" s="11">
        <v>1.1160000000000001</v>
      </c>
    </row>
    <row r="350" spans="1:5" x14ac:dyDescent="0.25">
      <c r="A350" t="s">
        <v>1742</v>
      </c>
      <c r="B350" s="1" t="str">
        <f>HYPERLINK("http://www.ncbi.nlm.nih.gov/pubmed/?term=Dlk2", "Dlk2")</f>
        <v>Dlk2</v>
      </c>
      <c r="C350" s="20">
        <v>4.4649999999999999</v>
      </c>
      <c r="D350" s="12">
        <v>-0.22109999999999999</v>
      </c>
      <c r="E350" s="11">
        <v>1.216</v>
      </c>
    </row>
    <row r="351" spans="1:5" x14ac:dyDescent="0.25">
      <c r="A351" t="s">
        <v>44</v>
      </c>
      <c r="B351" s="1" t="str">
        <f>HYPERLINK("http://www.ncbi.nlm.nih.gov/pubmed/?term=Zfp395", "Zfp395")</f>
        <v>Zfp395</v>
      </c>
      <c r="C351" s="20">
        <v>4.7939999999999996</v>
      </c>
      <c r="D351" s="3">
        <v>2.6429999999999998</v>
      </c>
      <c r="E351" s="12">
        <v>0.3705</v>
      </c>
    </row>
    <row r="352" spans="1:5" x14ac:dyDescent="0.25">
      <c r="A352" t="s">
        <v>697</v>
      </c>
      <c r="B352" s="1" t="str">
        <f>HYPERLINK("http://www.ncbi.nlm.nih.gov/pubmed/?term=Gstm2", "Gstm2")</f>
        <v>Gstm2</v>
      </c>
      <c r="C352" s="20">
        <v>4.8449999999999998</v>
      </c>
      <c r="D352" s="3">
        <v>2.871</v>
      </c>
      <c r="E352" s="12">
        <v>0.44209999999999999</v>
      </c>
    </row>
    <row r="353" spans="1:5" x14ac:dyDescent="0.25">
      <c r="A353" t="s">
        <v>1084</v>
      </c>
      <c r="B353" s="1" t="str">
        <f>HYPERLINK("http://www.ncbi.nlm.nih.gov/pubmed/?term=Fermt2", "Fermt2")</f>
        <v>Fermt2</v>
      </c>
      <c r="C353" s="4">
        <v>5.1319999999999997</v>
      </c>
      <c r="D353" s="20">
        <v>4.125</v>
      </c>
      <c r="E353" s="22">
        <v>3.1709999999999998</v>
      </c>
    </row>
    <row r="354" spans="1:5" x14ac:dyDescent="0.25">
      <c r="A354" t="s">
        <v>391</v>
      </c>
      <c r="B354" s="1" t="str">
        <f>HYPERLINK("http://www.ncbi.nlm.nih.gov/pubmed/?term=Degs1", "Degs1")</f>
        <v>Degs1</v>
      </c>
      <c r="C354" s="4">
        <v>5.0599999999999996</v>
      </c>
      <c r="D354" s="22">
        <v>3.8170000000000002</v>
      </c>
      <c r="E354" s="22">
        <v>3.218</v>
      </c>
    </row>
    <row r="355" spans="1:5" x14ac:dyDescent="0.25">
      <c r="A355" t="s">
        <v>349</v>
      </c>
      <c r="B355" s="1" t="str">
        <f>HYPERLINK("http://www.ncbi.nlm.nih.gov/pubmed/?term=Snx4", "Snx4")</f>
        <v>Snx4</v>
      </c>
      <c r="C355" s="4">
        <v>5.085</v>
      </c>
      <c r="D355" s="22">
        <v>3.927</v>
      </c>
      <c r="E355" s="22">
        <v>3.7029999999999998</v>
      </c>
    </row>
    <row r="356" spans="1:5" x14ac:dyDescent="0.25">
      <c r="A356" t="s">
        <v>107</v>
      </c>
      <c r="B356" s="1" t="str">
        <f>HYPERLINK("http://www.ncbi.nlm.nih.gov/pubmed/?term=2610018G03Rik", "2610018G03Rik")</f>
        <v>2610018G03Rik</v>
      </c>
      <c r="C356" s="20">
        <v>4.8769999999999998</v>
      </c>
      <c r="D356" s="22">
        <v>3.0449999999999999</v>
      </c>
      <c r="E356" s="3">
        <v>2.6560000000000001</v>
      </c>
    </row>
    <row r="357" spans="1:5" x14ac:dyDescent="0.25">
      <c r="A357" t="s">
        <v>825</v>
      </c>
      <c r="B357" s="1" t="str">
        <f>HYPERLINK("http://www.ncbi.nlm.nih.gov/pubmed/?term=Sipa1l2", "Sipa1l2")</f>
        <v>Sipa1l2</v>
      </c>
      <c r="C357" s="20">
        <v>4.8049999999999997</v>
      </c>
      <c r="D357" s="11">
        <v>1.282</v>
      </c>
      <c r="E357" s="3">
        <v>2.7440000000000002</v>
      </c>
    </row>
    <row r="358" spans="1:5" x14ac:dyDescent="0.25">
      <c r="A358" t="s">
        <v>1497</v>
      </c>
      <c r="B358" s="1" t="str">
        <f>HYPERLINK("http://www.ncbi.nlm.nih.gov/pubmed/?term=Cdk5rap2", "Cdk5rap2")</f>
        <v>Cdk5rap2</v>
      </c>
      <c r="C358" s="20">
        <v>4.9560000000000004</v>
      </c>
      <c r="D358" s="22">
        <v>3.41</v>
      </c>
      <c r="E358" s="22">
        <v>3.0459999999999998</v>
      </c>
    </row>
    <row r="359" spans="1:5" x14ac:dyDescent="0.25">
      <c r="A359" t="s">
        <v>1685</v>
      </c>
      <c r="B359" s="1" t="str">
        <f>HYPERLINK("http://www.ncbi.nlm.nih.gov/pubmed/?term=Ppm1l", "Ppm1l")</f>
        <v>Ppm1l</v>
      </c>
      <c r="C359" s="20">
        <v>4.8250000000000002</v>
      </c>
      <c r="D359" s="3">
        <v>2.8530000000000002</v>
      </c>
      <c r="E359" s="11">
        <v>1.8640000000000001</v>
      </c>
    </row>
    <row r="360" spans="1:5" x14ac:dyDescent="0.25">
      <c r="A360" t="s">
        <v>985</v>
      </c>
      <c r="B360" s="1" t="str">
        <f>HYPERLINK("http://www.ncbi.nlm.nih.gov/pubmed/?term=Nr4a1", "Nr4a1")</f>
        <v>Nr4a1</v>
      </c>
      <c r="C360" s="20">
        <v>4.8940000000000001</v>
      </c>
      <c r="D360" s="22">
        <v>3.1509999999999998</v>
      </c>
      <c r="E360" s="3">
        <v>2.573</v>
      </c>
    </row>
    <row r="361" spans="1:5" x14ac:dyDescent="0.25">
      <c r="A361" t="s">
        <v>54</v>
      </c>
      <c r="B361" s="1" t="str">
        <f>HYPERLINK("http://www.ncbi.nlm.nih.gov/pubmed/?term=Nbl1", "Nbl1")</f>
        <v>Nbl1</v>
      </c>
      <c r="C361" s="20">
        <v>4.7060000000000004</v>
      </c>
      <c r="D361" s="3">
        <v>2.351</v>
      </c>
      <c r="E361" s="3">
        <v>2.1739999999999999</v>
      </c>
    </row>
    <row r="362" spans="1:5" x14ac:dyDescent="0.25">
      <c r="A362" t="s">
        <v>1808</v>
      </c>
      <c r="B362" s="1" t="str">
        <f>HYPERLINK("http://www.ncbi.nlm.nih.gov/pubmed/?term=Poldip2", "Poldip2")</f>
        <v>Poldip2</v>
      </c>
      <c r="C362" s="4">
        <v>5.1079999999999997</v>
      </c>
      <c r="D362" s="20">
        <v>4.0940000000000003</v>
      </c>
      <c r="E362" s="22">
        <v>3.6360000000000001</v>
      </c>
    </row>
    <row r="363" spans="1:5" x14ac:dyDescent="0.25">
      <c r="A363" t="s">
        <v>1703</v>
      </c>
      <c r="B363" s="1" t="str">
        <f>HYPERLINK("http://www.ncbi.nlm.nih.gov/pubmed/?term=Scmh1", "Scmh1")</f>
        <v>Scmh1</v>
      </c>
      <c r="C363" s="4">
        <v>5.0970000000000004</v>
      </c>
      <c r="D363" s="20">
        <v>4.0529999999999999</v>
      </c>
      <c r="E363" s="3">
        <v>2.798</v>
      </c>
    </row>
    <row r="364" spans="1:5" x14ac:dyDescent="0.25">
      <c r="A364" t="s">
        <v>90</v>
      </c>
      <c r="B364" s="1" t="str">
        <f>HYPERLINK("http://www.ncbi.nlm.nih.gov/pubmed/?term=C030046E11Rik", "C030046E11Rik")</f>
        <v>C030046E11Rik</v>
      </c>
      <c r="C364" s="20">
        <v>4.9020000000000001</v>
      </c>
      <c r="D364" s="22">
        <v>3.1190000000000002</v>
      </c>
      <c r="E364" s="22">
        <v>3.2130000000000001</v>
      </c>
    </row>
    <row r="365" spans="1:5" x14ac:dyDescent="0.25">
      <c r="A365" t="s">
        <v>979</v>
      </c>
      <c r="B365" s="1" t="str">
        <f>HYPERLINK("http://www.ncbi.nlm.nih.gov/pubmed/?term=4932438A13Rik", "4932438A13Rik")</f>
        <v>4932438A13Rik</v>
      </c>
      <c r="C365" s="4">
        <v>5.0640000000000001</v>
      </c>
      <c r="D365" s="22">
        <v>3.9249999999999998</v>
      </c>
      <c r="E365" s="22">
        <v>3.246</v>
      </c>
    </row>
    <row r="366" spans="1:5" x14ac:dyDescent="0.25">
      <c r="A366" t="s">
        <v>1572</v>
      </c>
      <c r="B366" s="1" t="str">
        <f>HYPERLINK("http://www.ncbi.nlm.nih.gov/pubmed/?term=Srm", "Srm")</f>
        <v>Srm</v>
      </c>
      <c r="C366" s="4">
        <v>5.1020000000000003</v>
      </c>
      <c r="D366" s="22">
        <v>3.6949999999999998</v>
      </c>
      <c r="E366" s="20">
        <v>4.09</v>
      </c>
    </row>
    <row r="367" spans="1:5" x14ac:dyDescent="0.25">
      <c r="A367" t="s">
        <v>1345</v>
      </c>
      <c r="B367" s="1" t="str">
        <f>HYPERLINK("http://www.ncbi.nlm.nih.gov/pubmed/?term=Mark3", "Mark3")</f>
        <v>Mark3</v>
      </c>
      <c r="C367" s="4">
        <v>5.0979999999999999</v>
      </c>
      <c r="D367" s="20">
        <v>4.0789999999999997</v>
      </c>
      <c r="E367" s="22">
        <v>3.9049999999999998</v>
      </c>
    </row>
    <row r="368" spans="1:5" x14ac:dyDescent="0.25">
      <c r="A368" t="s">
        <v>177</v>
      </c>
      <c r="B368" s="1" t="str">
        <f>HYPERLINK("http://www.ncbi.nlm.nih.gov/pubmed/?term=Kpna1", "Kpna1")</f>
        <v>Kpna1</v>
      </c>
      <c r="C368" s="4">
        <v>5.032</v>
      </c>
      <c r="D368" s="22">
        <v>3.6059999999999999</v>
      </c>
      <c r="E368" s="22">
        <v>3.8130000000000002</v>
      </c>
    </row>
    <row r="369" spans="1:5" x14ac:dyDescent="0.25">
      <c r="A369" t="s">
        <v>1592</v>
      </c>
      <c r="B369" s="1" t="str">
        <f>HYPERLINK("http://www.ncbi.nlm.nih.gov/pubmed/?term=Ubn1", "Ubn1")</f>
        <v>Ubn1</v>
      </c>
      <c r="C369" s="4">
        <v>5.0309999999999997</v>
      </c>
      <c r="D369" s="22">
        <v>3.8170000000000002</v>
      </c>
      <c r="E369" s="22">
        <v>3.6640000000000001</v>
      </c>
    </row>
    <row r="370" spans="1:5" x14ac:dyDescent="0.25">
      <c r="A370" t="s">
        <v>1961</v>
      </c>
      <c r="B370" s="1" t="str">
        <f>HYPERLINK("http://www.ncbi.nlm.nih.gov/pubmed/?term=Ipo4", "Ipo4")</f>
        <v>Ipo4</v>
      </c>
      <c r="C370" s="4">
        <v>5.0659999999999998</v>
      </c>
      <c r="D370" s="22">
        <v>3.9809999999999999</v>
      </c>
      <c r="E370" s="22">
        <v>3.625</v>
      </c>
    </row>
    <row r="371" spans="1:5" x14ac:dyDescent="0.25">
      <c r="A371" t="s">
        <v>625</v>
      </c>
      <c r="B371" s="1" t="str">
        <f>HYPERLINK("http://www.ncbi.nlm.nih.gov/pubmed/?term=Snx30", "Snx30")</f>
        <v>Snx30</v>
      </c>
      <c r="C371" s="20">
        <v>4.9359999999999999</v>
      </c>
      <c r="D371" s="3">
        <v>2.52</v>
      </c>
      <c r="E371" s="22">
        <v>3.43</v>
      </c>
    </row>
    <row r="372" spans="1:5" x14ac:dyDescent="0.25">
      <c r="A372" t="s">
        <v>1523</v>
      </c>
      <c r="B372" s="1" t="str">
        <f>HYPERLINK("http://www.ncbi.nlm.nih.gov/pubmed/?term=Gch1", "Gch1")</f>
        <v>Gch1</v>
      </c>
      <c r="C372" s="20">
        <v>4.4989999999999997</v>
      </c>
      <c r="D372" s="11">
        <v>1.3049999999999999</v>
      </c>
      <c r="E372" s="11">
        <v>1.5569999999999999</v>
      </c>
    </row>
    <row r="373" spans="1:5" x14ac:dyDescent="0.25">
      <c r="A373" t="s">
        <v>904</v>
      </c>
      <c r="B373" s="1" t="str">
        <f>HYPERLINK("http://www.ncbi.nlm.nih.gov/pubmed/?term=Baiap2", "Baiap2")</f>
        <v>Baiap2</v>
      </c>
      <c r="C373" s="4">
        <v>5.0419999999999998</v>
      </c>
      <c r="D373" s="22">
        <v>3.0350000000000001</v>
      </c>
      <c r="E373" s="22">
        <v>3.9169999999999998</v>
      </c>
    </row>
    <row r="374" spans="1:5" x14ac:dyDescent="0.25">
      <c r="A374" t="s">
        <v>1671</v>
      </c>
      <c r="B374" s="1" t="str">
        <f>HYPERLINK("http://www.ncbi.nlm.nih.gov/pubmed/?term=Cd8b1", "Cd8b1")</f>
        <v>Cd8b1</v>
      </c>
      <c r="C374" s="20">
        <v>4.1340000000000003</v>
      </c>
      <c r="D374" s="12">
        <v>-0.39410000000000001</v>
      </c>
      <c r="E374" s="12">
        <v>-0.43059999999999998</v>
      </c>
    </row>
    <row r="375" spans="1:5" x14ac:dyDescent="0.25">
      <c r="A375" t="s">
        <v>912</v>
      </c>
      <c r="B375" s="1" t="str">
        <f>HYPERLINK("http://www.ncbi.nlm.nih.gov/pubmed/?term=Dock1", "Dock1")</f>
        <v>Dock1</v>
      </c>
      <c r="C375" s="20">
        <v>4.92</v>
      </c>
      <c r="D375" s="22">
        <v>3.3980000000000001</v>
      </c>
      <c r="E375" s="22">
        <v>3.2280000000000002</v>
      </c>
    </row>
    <row r="376" spans="1:5" x14ac:dyDescent="0.25">
      <c r="A376" t="s">
        <v>1071</v>
      </c>
      <c r="B376" s="1" t="str">
        <f>HYPERLINK("http://www.ncbi.nlm.nih.gov/pubmed/?term=Fbxo21", "Fbxo21")</f>
        <v>Fbxo21</v>
      </c>
      <c r="C376" s="20">
        <v>4.9050000000000002</v>
      </c>
      <c r="D376" s="22">
        <v>3.3639999999999999</v>
      </c>
      <c r="E376" s="22">
        <v>3.04</v>
      </c>
    </row>
    <row r="377" spans="1:5" x14ac:dyDescent="0.25">
      <c r="A377" t="s">
        <v>828</v>
      </c>
      <c r="B377" s="1" t="str">
        <f>HYPERLINK("http://www.ncbi.nlm.nih.gov/pubmed/?term=2810008M24Rik", "2810008M24Rik")</f>
        <v>2810008M24Rik</v>
      </c>
      <c r="C377" s="20">
        <v>4.907</v>
      </c>
      <c r="D377" s="22">
        <v>3.36</v>
      </c>
      <c r="E377" s="22">
        <v>3.391</v>
      </c>
    </row>
    <row r="378" spans="1:5" x14ac:dyDescent="0.25">
      <c r="A378" t="s">
        <v>1382</v>
      </c>
      <c r="B378" s="1" t="str">
        <f>HYPERLINK("http://www.ncbi.nlm.nih.gov/pubmed/?term=Gm4841", "Gm4841")</f>
        <v>Gm4841</v>
      </c>
      <c r="C378" s="20">
        <v>4.5750000000000002</v>
      </c>
      <c r="D378" s="11">
        <v>1.254</v>
      </c>
      <c r="E378" s="11">
        <v>1.9750000000000001</v>
      </c>
    </row>
    <row r="379" spans="1:5" x14ac:dyDescent="0.25">
      <c r="A379" t="s">
        <v>113</v>
      </c>
      <c r="B379" s="1" t="str">
        <f>HYPERLINK("http://www.ncbi.nlm.nih.gov/pubmed/?term=Inpp5a", "Inpp5a")</f>
        <v>Inpp5a</v>
      </c>
      <c r="C379" s="4">
        <v>5.0369999999999999</v>
      </c>
      <c r="D379" s="22">
        <v>3.605</v>
      </c>
      <c r="E379" s="22">
        <v>3.9809999999999999</v>
      </c>
    </row>
    <row r="380" spans="1:5" x14ac:dyDescent="0.25">
      <c r="A380" t="s">
        <v>775</v>
      </c>
      <c r="B380" s="1" t="str">
        <f>HYPERLINK("http://www.ncbi.nlm.nih.gov/pubmed/?term=Ppp2r1b", "Ppp2r1b")</f>
        <v>Ppp2r1b</v>
      </c>
      <c r="C380" s="20">
        <v>4.8479999999999999</v>
      </c>
      <c r="D380" s="22">
        <v>3.1829999999999998</v>
      </c>
      <c r="E380" s="3">
        <v>2.93</v>
      </c>
    </row>
    <row r="381" spans="1:5" x14ac:dyDescent="0.25">
      <c r="A381" t="s">
        <v>609</v>
      </c>
      <c r="B381" s="1" t="str">
        <f>HYPERLINK("http://www.ncbi.nlm.nih.gov/pubmed/?term=Scn4b", "Scn4b")</f>
        <v>Scn4b</v>
      </c>
      <c r="C381" s="20">
        <v>4.835</v>
      </c>
      <c r="D381" s="22">
        <v>3.16</v>
      </c>
      <c r="E381" s="3">
        <v>2.5550000000000002</v>
      </c>
    </row>
    <row r="382" spans="1:5" x14ac:dyDescent="0.25">
      <c r="A382" t="s">
        <v>369</v>
      </c>
      <c r="B382" s="1" t="str">
        <f>HYPERLINK("http://www.ncbi.nlm.nih.gov/pubmed/?term=Naa15", "Naa15")</f>
        <v>Naa15</v>
      </c>
      <c r="C382" s="20">
        <v>4.9649999999999999</v>
      </c>
      <c r="D382" s="22">
        <v>3.7330000000000001</v>
      </c>
      <c r="E382" s="22">
        <v>3.4420000000000002</v>
      </c>
    </row>
    <row r="383" spans="1:5" x14ac:dyDescent="0.25">
      <c r="A383" t="s">
        <v>531</v>
      </c>
      <c r="B383" s="1" t="str">
        <f>HYPERLINK("http://www.ncbi.nlm.nih.gov/pubmed/?term=Commd9", "Commd9")</f>
        <v>Commd9</v>
      </c>
      <c r="C383" s="20">
        <v>4.9950000000000001</v>
      </c>
      <c r="D383" s="22">
        <v>3.8759999999999999</v>
      </c>
      <c r="E383" s="22">
        <v>3.5640000000000001</v>
      </c>
    </row>
    <row r="384" spans="1:5" x14ac:dyDescent="0.25">
      <c r="A384" t="s">
        <v>1850</v>
      </c>
      <c r="B384" s="1" t="str">
        <f>HYPERLINK("http://www.ncbi.nlm.nih.gov/pubmed/?term=Acadsb", "Acadsb")</f>
        <v>Acadsb</v>
      </c>
      <c r="C384" s="20">
        <v>4.9779999999999998</v>
      </c>
      <c r="D384" s="22">
        <v>3.8260000000000001</v>
      </c>
      <c r="E384" s="22">
        <v>3.49</v>
      </c>
    </row>
    <row r="385" spans="1:5" x14ac:dyDescent="0.25">
      <c r="A385" t="s">
        <v>305</v>
      </c>
      <c r="B385" s="1" t="str">
        <f>HYPERLINK("http://www.ncbi.nlm.nih.gov/pubmed/?term=Siva1", "Siva1")</f>
        <v>Siva1</v>
      </c>
      <c r="C385" s="20">
        <v>4.9160000000000004</v>
      </c>
      <c r="D385" s="22">
        <v>3.5739999999999998</v>
      </c>
      <c r="E385" s="3">
        <v>2.1890000000000001</v>
      </c>
    </row>
    <row r="386" spans="1:5" x14ac:dyDescent="0.25">
      <c r="A386" t="s">
        <v>635</v>
      </c>
      <c r="B386" s="1" t="str">
        <f>HYPERLINK("http://www.ncbi.nlm.nih.gov/pubmed/?term=Tgfbr2", "Tgfbr2")</f>
        <v>Tgfbr2</v>
      </c>
      <c r="C386" s="20">
        <v>4.5739999999999998</v>
      </c>
      <c r="D386" s="3">
        <v>2.1139999999999999</v>
      </c>
      <c r="E386" s="12">
        <v>-0.61719999999999997</v>
      </c>
    </row>
    <row r="387" spans="1:5" x14ac:dyDescent="0.25">
      <c r="A387" t="s">
        <v>1473</v>
      </c>
      <c r="B387" s="1" t="str">
        <f>HYPERLINK("http://www.ncbi.nlm.nih.gov/pubmed/?term=Tjap1", "Tjap1")</f>
        <v>Tjap1</v>
      </c>
      <c r="C387" s="20">
        <v>4.9450000000000003</v>
      </c>
      <c r="D387" s="22">
        <v>3.46</v>
      </c>
      <c r="E387" s="22">
        <v>3.7269999999999999</v>
      </c>
    </row>
    <row r="388" spans="1:5" x14ac:dyDescent="0.25">
      <c r="A388" t="s">
        <v>969</v>
      </c>
      <c r="B388" s="1" t="str">
        <f>HYPERLINK("http://www.ncbi.nlm.nih.gov/pubmed/?term=Egflam", "Egflam")</f>
        <v>Egflam</v>
      </c>
      <c r="C388" s="20">
        <v>4.5860000000000003</v>
      </c>
      <c r="D388" s="12">
        <v>-0.89559999999999995</v>
      </c>
      <c r="E388" s="3">
        <v>2.1749999999999998</v>
      </c>
    </row>
    <row r="389" spans="1:5" x14ac:dyDescent="0.25">
      <c r="A389" t="s">
        <v>1424</v>
      </c>
      <c r="B389" s="1" t="str">
        <f>HYPERLINK("http://www.ncbi.nlm.nih.gov/pubmed/?term=Rhbdf2", "Rhbdf2")</f>
        <v>Rhbdf2</v>
      </c>
      <c r="C389" s="20">
        <v>4.96</v>
      </c>
      <c r="D389" s="22">
        <v>3.6349999999999998</v>
      </c>
      <c r="E389" s="22">
        <v>3.7989999999999999</v>
      </c>
    </row>
    <row r="390" spans="1:5" x14ac:dyDescent="0.25">
      <c r="A390" t="s">
        <v>504</v>
      </c>
      <c r="B390" s="1" t="str">
        <f>HYPERLINK("http://www.ncbi.nlm.nih.gov/pubmed/?term=Ccdc8", "Ccdc8")</f>
        <v>Ccdc8</v>
      </c>
      <c r="C390" s="20">
        <v>4.82</v>
      </c>
      <c r="D390" s="22">
        <v>3.194</v>
      </c>
      <c r="E390" s="3">
        <v>2.8839999999999999</v>
      </c>
    </row>
    <row r="391" spans="1:5" x14ac:dyDescent="0.25">
      <c r="A391" t="s">
        <v>417</v>
      </c>
      <c r="B391" s="1" t="str">
        <f>HYPERLINK("http://www.ncbi.nlm.nih.gov/pubmed/?term=Cd3g", "Cd3g")</f>
        <v>Cd3g</v>
      </c>
      <c r="C391" s="20">
        <v>4.2249999999999996</v>
      </c>
      <c r="D391" s="12">
        <v>0.3417</v>
      </c>
      <c r="E391" s="12">
        <v>0.66310000000000002</v>
      </c>
    </row>
    <row r="392" spans="1:5" x14ac:dyDescent="0.25">
      <c r="A392" t="s">
        <v>841</v>
      </c>
      <c r="B392" s="1" t="str">
        <f>HYPERLINK("http://www.ncbi.nlm.nih.gov/pubmed/?term=Fbxo10", "Fbxo10")</f>
        <v>Fbxo10</v>
      </c>
      <c r="C392" s="20">
        <v>4.9800000000000004</v>
      </c>
      <c r="D392" s="22">
        <v>3.9390000000000001</v>
      </c>
      <c r="E392" s="22">
        <v>3.05</v>
      </c>
    </row>
    <row r="393" spans="1:5" x14ac:dyDescent="0.25">
      <c r="A393" t="s">
        <v>26</v>
      </c>
      <c r="B393" s="1" t="str">
        <f>HYPERLINK("http://www.ncbi.nlm.nih.gov/pubmed/?term=Sept10", "Sept10")</f>
        <v>Sept10</v>
      </c>
      <c r="C393" s="20">
        <v>4.9059999999999997</v>
      </c>
      <c r="D393" s="22">
        <v>3.6259999999999999</v>
      </c>
      <c r="E393" s="3">
        <v>2.4710000000000001</v>
      </c>
    </row>
    <row r="394" spans="1:5" x14ac:dyDescent="0.25">
      <c r="A394" t="s">
        <v>73</v>
      </c>
      <c r="B394" s="1" t="str">
        <f>HYPERLINK("http://www.ncbi.nlm.nih.gov/pubmed/?term=Plxna1", "Plxna1")</f>
        <v>Plxna1</v>
      </c>
      <c r="C394" s="20">
        <v>4.9710000000000001</v>
      </c>
      <c r="D394" s="22">
        <v>3.9119999999999999</v>
      </c>
      <c r="E394" s="22">
        <v>3.7919999999999998</v>
      </c>
    </row>
    <row r="395" spans="1:5" x14ac:dyDescent="0.25">
      <c r="A395" t="s">
        <v>1681</v>
      </c>
      <c r="B395" s="1" t="str">
        <f>HYPERLINK("http://www.ncbi.nlm.nih.gov/pubmed/?term=Kif3b", "Kif3b")</f>
        <v>Kif3b</v>
      </c>
      <c r="C395" s="20">
        <v>4.8310000000000004</v>
      </c>
      <c r="D395" s="22">
        <v>3.3279999999999998</v>
      </c>
      <c r="E395" s="22">
        <v>3.2559999999999998</v>
      </c>
    </row>
    <row r="396" spans="1:5" x14ac:dyDescent="0.25">
      <c r="A396" t="s">
        <v>1005</v>
      </c>
      <c r="B396" s="1" t="str">
        <f>HYPERLINK("http://www.ncbi.nlm.nih.gov/pubmed/?term=Aebp1", "Aebp1")</f>
        <v>Aebp1</v>
      </c>
      <c r="C396" s="20">
        <v>4.59</v>
      </c>
      <c r="D396" s="3">
        <v>2.2909999999999999</v>
      </c>
      <c r="E396" s="12">
        <v>-1.0169999999999999</v>
      </c>
    </row>
    <row r="397" spans="1:5" x14ac:dyDescent="0.25">
      <c r="A397" t="s">
        <v>792</v>
      </c>
      <c r="B397" s="1" t="str">
        <f>HYPERLINK("http://www.ncbi.nlm.nih.gov/pubmed/?term=Rhoq", "Rhoq")</f>
        <v>Rhoq</v>
      </c>
      <c r="C397" s="20">
        <v>4.7750000000000004</v>
      </c>
      <c r="D397" s="22">
        <v>3.1059999999999999</v>
      </c>
      <c r="E397" s="12">
        <v>0.2752</v>
      </c>
    </row>
    <row r="398" spans="1:5" x14ac:dyDescent="0.25">
      <c r="A398" t="s">
        <v>465</v>
      </c>
      <c r="B398" s="1" t="str">
        <f>HYPERLINK("http://www.ncbi.nlm.nih.gov/pubmed/?term=Fbxw7", "Fbxw7")</f>
        <v>Fbxw7</v>
      </c>
      <c r="C398" s="20">
        <v>4.8330000000000002</v>
      </c>
      <c r="D398" s="3">
        <v>2.9950000000000001</v>
      </c>
      <c r="E398" s="22">
        <v>3.375</v>
      </c>
    </row>
    <row r="399" spans="1:5" x14ac:dyDescent="0.25">
      <c r="A399" t="s">
        <v>1616</v>
      </c>
      <c r="B399" s="1" t="str">
        <f>HYPERLINK("http://www.ncbi.nlm.nih.gov/pubmed/?term=Dntt", "Dntt")</f>
        <v>Dntt</v>
      </c>
      <c r="C399" s="20">
        <v>4.1070000000000002</v>
      </c>
      <c r="D399" s="12">
        <v>0.2407</v>
      </c>
      <c r="E399" s="12">
        <v>0.12920000000000001</v>
      </c>
    </row>
    <row r="400" spans="1:5" x14ac:dyDescent="0.25">
      <c r="A400" t="s">
        <v>1712</v>
      </c>
      <c r="B400" s="1" t="str">
        <f>HYPERLINK("http://www.ncbi.nlm.nih.gov/pubmed/?term=Gga2", "Gga2")</f>
        <v>Gga2</v>
      </c>
      <c r="C400" s="20">
        <v>4.9290000000000003</v>
      </c>
      <c r="D400" s="22">
        <v>3.8010000000000002</v>
      </c>
      <c r="E400" s="22">
        <v>3.7250000000000001</v>
      </c>
    </row>
    <row r="401" spans="1:5" x14ac:dyDescent="0.25">
      <c r="A401" t="s">
        <v>1356</v>
      </c>
      <c r="B401" s="1" t="str">
        <f>HYPERLINK("http://www.ncbi.nlm.nih.gov/pubmed/?term=Parvb", "Parvb")</f>
        <v>Parvb</v>
      </c>
      <c r="C401" s="20">
        <v>4.2480000000000002</v>
      </c>
      <c r="D401" s="12">
        <v>0.87590000000000001</v>
      </c>
      <c r="E401" s="12">
        <v>0.32079999999999997</v>
      </c>
    </row>
    <row r="402" spans="1:5" x14ac:dyDescent="0.25">
      <c r="A402" t="s">
        <v>1352</v>
      </c>
      <c r="B402" s="1" t="str">
        <f>HYPERLINK("http://www.ncbi.nlm.nih.gov/pubmed/?term=Cd8a", "Cd8a")</f>
        <v>Cd8a</v>
      </c>
      <c r="C402" s="20">
        <v>4.1340000000000003</v>
      </c>
      <c r="D402" s="12">
        <v>0.40960000000000002</v>
      </c>
      <c r="E402" s="12">
        <v>5.8040000000000001E-2</v>
      </c>
    </row>
    <row r="403" spans="1:5" x14ac:dyDescent="0.25">
      <c r="A403" t="s">
        <v>826</v>
      </c>
      <c r="B403" s="1" t="str">
        <f>HYPERLINK("http://www.ncbi.nlm.nih.gov/pubmed/?term=Ccdc90b", "Ccdc90b")</f>
        <v>Ccdc90b</v>
      </c>
      <c r="C403" s="20">
        <v>4.9329999999999998</v>
      </c>
      <c r="D403" s="22">
        <v>3.5579999999999998</v>
      </c>
      <c r="E403" s="22">
        <v>3.9039999999999999</v>
      </c>
    </row>
    <row r="404" spans="1:5" x14ac:dyDescent="0.25">
      <c r="A404" t="s">
        <v>351</v>
      </c>
      <c r="B404" s="1" t="str">
        <f>HYPERLINK("http://www.ncbi.nlm.nih.gov/pubmed/?term=Arf2", "Arf2")</f>
        <v>Arf2</v>
      </c>
      <c r="C404" s="20">
        <v>4.702</v>
      </c>
      <c r="D404" s="3">
        <v>2.911</v>
      </c>
      <c r="E404" s="3">
        <v>2.544</v>
      </c>
    </row>
    <row r="405" spans="1:5" x14ac:dyDescent="0.25">
      <c r="A405" t="s">
        <v>1825</v>
      </c>
      <c r="B405" s="1" t="str">
        <f>HYPERLINK("http://www.ncbi.nlm.nih.gov/pubmed/?term=Entpd6", "Entpd6")</f>
        <v>Entpd6</v>
      </c>
      <c r="C405" s="20">
        <v>4.6749999999999998</v>
      </c>
      <c r="D405" s="3">
        <v>2.2330000000000001</v>
      </c>
      <c r="E405" s="3">
        <v>2.7959999999999998</v>
      </c>
    </row>
    <row r="406" spans="1:5" x14ac:dyDescent="0.25">
      <c r="A406" t="s">
        <v>1372</v>
      </c>
      <c r="B406" s="1" t="str">
        <f>HYPERLINK("http://www.ncbi.nlm.nih.gov/pubmed/?term=Bms1", "Bms1")</f>
        <v>Bms1</v>
      </c>
      <c r="C406" s="20">
        <v>4.8929999999999998</v>
      </c>
      <c r="D406" s="22">
        <v>3.742</v>
      </c>
      <c r="E406" s="22">
        <v>3.597</v>
      </c>
    </row>
    <row r="407" spans="1:5" x14ac:dyDescent="0.25">
      <c r="A407" t="s">
        <v>1953</v>
      </c>
      <c r="B407" s="1" t="str">
        <f>HYPERLINK("http://www.ncbi.nlm.nih.gov/pubmed/?term=Pdxk", "Pdxk")</f>
        <v>Pdxk</v>
      </c>
      <c r="C407" s="20">
        <v>4.6820000000000004</v>
      </c>
      <c r="D407" s="3">
        <v>2.9039999999999999</v>
      </c>
      <c r="E407" s="3">
        <v>2.5139999999999998</v>
      </c>
    </row>
    <row r="408" spans="1:5" x14ac:dyDescent="0.25">
      <c r="A408" t="s">
        <v>1088</v>
      </c>
      <c r="B408" s="1" t="str">
        <f>HYPERLINK("http://www.ncbi.nlm.nih.gov/pubmed/?term=Susd4", "Susd4")</f>
        <v>Susd4</v>
      </c>
      <c r="C408" s="20">
        <v>4.4969999999999999</v>
      </c>
      <c r="D408" s="3">
        <v>2.105</v>
      </c>
      <c r="E408" s="12">
        <v>-0.71779999999999999</v>
      </c>
    </row>
    <row r="409" spans="1:5" x14ac:dyDescent="0.25">
      <c r="A409" t="s">
        <v>12</v>
      </c>
      <c r="B409" s="1" t="str">
        <f>HYPERLINK("http://www.ncbi.nlm.nih.gov/pubmed/?term=Thbs2", "Thbs2")</f>
        <v>Thbs2</v>
      </c>
      <c r="C409" s="20">
        <v>4.6790000000000003</v>
      </c>
      <c r="D409" s="3">
        <v>2.919</v>
      </c>
      <c r="E409" s="3">
        <v>2.6720000000000002</v>
      </c>
    </row>
    <row r="410" spans="1:5" x14ac:dyDescent="0.25">
      <c r="A410" t="s">
        <v>1551</v>
      </c>
      <c r="B410" s="1" t="str">
        <f>HYPERLINK("http://www.ncbi.nlm.nih.gov/pubmed/?term=Serpine2", "Serpine2")</f>
        <v>Serpine2</v>
      </c>
      <c r="C410" s="20">
        <v>4.585</v>
      </c>
      <c r="D410" s="3">
        <v>2.5139999999999998</v>
      </c>
      <c r="E410" s="3">
        <v>2.19</v>
      </c>
    </row>
    <row r="411" spans="1:5" x14ac:dyDescent="0.25">
      <c r="A411" t="s">
        <v>784</v>
      </c>
      <c r="B411" s="1" t="str">
        <f>HYPERLINK("http://www.ncbi.nlm.nih.gov/pubmed/?term=Tbc1d22b", "Tbc1d22b")</f>
        <v>Tbc1d22b</v>
      </c>
      <c r="C411" s="20">
        <v>4.7830000000000004</v>
      </c>
      <c r="D411" s="22">
        <v>3.3519999999999999</v>
      </c>
      <c r="E411" s="22">
        <v>3.3780000000000001</v>
      </c>
    </row>
    <row r="412" spans="1:5" x14ac:dyDescent="0.25">
      <c r="A412" t="s">
        <v>1219</v>
      </c>
      <c r="B412" s="1" t="str">
        <f>HYPERLINK("http://www.ncbi.nlm.nih.gov/pubmed/?term=Smad3", "Smad3")</f>
        <v>Smad3</v>
      </c>
      <c r="C412" s="20">
        <v>4.7679999999999998</v>
      </c>
      <c r="D412" s="3">
        <v>2.8929999999999998</v>
      </c>
      <c r="E412" s="22">
        <v>3.339</v>
      </c>
    </row>
    <row r="413" spans="1:5" x14ac:dyDescent="0.25">
      <c r="A413" t="s">
        <v>1937</v>
      </c>
      <c r="B413" s="1" t="str">
        <f>HYPERLINK("http://www.ncbi.nlm.nih.gov/pubmed/?term=Ankrd44", "Ankrd44")</f>
        <v>Ankrd44</v>
      </c>
      <c r="C413" s="20">
        <v>4.2759999999999998</v>
      </c>
      <c r="D413" s="11">
        <v>1.2410000000000001</v>
      </c>
      <c r="E413" s="12">
        <v>-0.65239999999999998</v>
      </c>
    </row>
    <row r="414" spans="1:5" x14ac:dyDescent="0.25">
      <c r="A414" t="s">
        <v>298</v>
      </c>
      <c r="B414" s="1" t="str">
        <f>HYPERLINK("http://www.ncbi.nlm.nih.gov/pubmed/?term=Thyn1", "Thyn1")</f>
        <v>Thyn1</v>
      </c>
      <c r="C414" s="20">
        <v>4.8090000000000002</v>
      </c>
      <c r="D414" s="22">
        <v>3.181</v>
      </c>
      <c r="E414" s="22">
        <v>3.5470000000000002</v>
      </c>
    </row>
    <row r="415" spans="1:5" x14ac:dyDescent="0.25">
      <c r="A415" t="s">
        <v>434</v>
      </c>
      <c r="B415" s="1" t="str">
        <f>HYPERLINK("http://www.ncbi.nlm.nih.gov/pubmed/?term=Sesn1", "Sesn1")</f>
        <v>Sesn1</v>
      </c>
      <c r="C415" s="20">
        <v>4.7149999999999999</v>
      </c>
      <c r="D415" s="22">
        <v>3.07</v>
      </c>
      <c r="E415" s="22">
        <v>3.14</v>
      </c>
    </row>
    <row r="416" spans="1:5" x14ac:dyDescent="0.25">
      <c r="A416" t="s">
        <v>1708</v>
      </c>
      <c r="B416" s="1" t="str">
        <f>HYPERLINK("http://www.ncbi.nlm.nih.gov/pubmed/?term=Rimklb", "Rimklb")</f>
        <v>Rimklb</v>
      </c>
      <c r="C416" s="22">
        <v>3.98</v>
      </c>
      <c r="D416" s="12">
        <v>-0.63919999999999999</v>
      </c>
      <c r="E416" s="12">
        <v>-0.31330000000000002</v>
      </c>
    </row>
    <row r="417" spans="1:5" x14ac:dyDescent="0.25">
      <c r="A417" t="s">
        <v>1049</v>
      </c>
      <c r="B417" s="1" t="str">
        <f>HYPERLINK("http://www.ncbi.nlm.nih.gov/pubmed/?term=Kank1", "Kank1")</f>
        <v>Kank1</v>
      </c>
      <c r="C417" s="20">
        <v>4.8319999999999999</v>
      </c>
      <c r="D417" s="3">
        <v>2.21</v>
      </c>
      <c r="E417" s="22">
        <v>3.6850000000000001</v>
      </c>
    </row>
    <row r="418" spans="1:5" x14ac:dyDescent="0.25">
      <c r="A418" t="s">
        <v>622</v>
      </c>
      <c r="B418" s="1" t="str">
        <f>HYPERLINK("http://www.ncbi.nlm.nih.gov/pubmed/?term=Hsdl2", "Hsdl2")</f>
        <v>Hsdl2</v>
      </c>
      <c r="C418" s="20">
        <v>4.8630000000000004</v>
      </c>
      <c r="D418" s="22">
        <v>3.8290000000000002</v>
      </c>
      <c r="E418" s="22">
        <v>3.3730000000000002</v>
      </c>
    </row>
    <row r="419" spans="1:5" x14ac:dyDescent="0.25">
      <c r="A419" t="s">
        <v>1782</v>
      </c>
      <c r="B419" s="1" t="str">
        <f>HYPERLINK("http://www.ncbi.nlm.nih.gov/pubmed/?term=Cobl", "Cobl")</f>
        <v>Cobl</v>
      </c>
      <c r="C419" s="20">
        <v>4.7679999999999998</v>
      </c>
      <c r="D419" s="22">
        <v>3.4390000000000001</v>
      </c>
      <c r="E419" s="22">
        <v>3.097</v>
      </c>
    </row>
    <row r="420" spans="1:5" x14ac:dyDescent="0.25">
      <c r="A420" t="s">
        <v>479</v>
      </c>
      <c r="B420" s="1" t="str">
        <f>HYPERLINK("http://www.ncbi.nlm.nih.gov/pubmed/?term=Etv5", "Etv5")</f>
        <v>Etv5</v>
      </c>
      <c r="C420" s="20">
        <v>4.1379999999999999</v>
      </c>
      <c r="D420" s="12">
        <v>0.72929999999999995</v>
      </c>
      <c r="E420" s="12">
        <v>0.50209999999999999</v>
      </c>
    </row>
    <row r="421" spans="1:5" x14ac:dyDescent="0.25">
      <c r="A421" t="s">
        <v>439</v>
      </c>
      <c r="B421" s="1" t="str">
        <f>HYPERLINK("http://www.ncbi.nlm.nih.gov/pubmed/?term=Sec23a", "Sec23a")</f>
        <v>Sec23a</v>
      </c>
      <c r="C421" s="20">
        <v>4.8019999999999996</v>
      </c>
      <c r="D421" s="22">
        <v>3.2909999999999999</v>
      </c>
      <c r="E421" s="22">
        <v>3.601</v>
      </c>
    </row>
    <row r="422" spans="1:5" x14ac:dyDescent="0.25">
      <c r="A422" t="s">
        <v>1957</v>
      </c>
      <c r="B422" s="1" t="str">
        <f>HYPERLINK("http://www.ncbi.nlm.nih.gov/pubmed/?term=Dusp6", "Dusp6")</f>
        <v>Dusp6</v>
      </c>
      <c r="C422" s="20">
        <v>4.7240000000000002</v>
      </c>
      <c r="D422" s="22">
        <v>3.28</v>
      </c>
      <c r="E422" s="11">
        <v>1.5589999999999999</v>
      </c>
    </row>
    <row r="423" spans="1:5" x14ac:dyDescent="0.25">
      <c r="A423" t="s">
        <v>526</v>
      </c>
      <c r="B423" s="1" t="str">
        <f>HYPERLINK("http://www.ncbi.nlm.nih.gov/pubmed/?term=Lat", "Lat")</f>
        <v>Lat</v>
      </c>
      <c r="C423" s="20">
        <v>4.03</v>
      </c>
      <c r="D423" s="12">
        <v>-0.30590000000000001</v>
      </c>
      <c r="E423" s="12">
        <v>0.31240000000000001</v>
      </c>
    </row>
    <row r="424" spans="1:5" x14ac:dyDescent="0.25">
      <c r="A424" t="s">
        <v>721</v>
      </c>
      <c r="B424" s="1" t="str">
        <f>HYPERLINK("http://www.ncbi.nlm.nih.gov/pubmed/?term=1190002H23Rik", "1190002H23Rik")</f>
        <v>1190002H23Rik</v>
      </c>
      <c r="C424" s="20">
        <v>4.359</v>
      </c>
      <c r="D424" s="11">
        <v>1.226</v>
      </c>
      <c r="E424" s="11">
        <v>1.7589999999999999</v>
      </c>
    </row>
    <row r="425" spans="1:5" x14ac:dyDescent="0.25">
      <c r="A425" t="s">
        <v>847</v>
      </c>
      <c r="B425" s="1" t="str">
        <f>HYPERLINK("http://www.ncbi.nlm.nih.gov/pubmed/?term=Fmnl3", "Fmnl3")</f>
        <v>Fmnl3</v>
      </c>
      <c r="C425" s="20">
        <v>4.4260000000000002</v>
      </c>
      <c r="D425" s="11">
        <v>1.7729999999999999</v>
      </c>
      <c r="E425" s="3">
        <v>2.0609999999999999</v>
      </c>
    </row>
    <row r="426" spans="1:5" x14ac:dyDescent="0.25">
      <c r="A426" t="s">
        <v>1787</v>
      </c>
      <c r="B426" s="1" t="str">
        <f>HYPERLINK("http://www.ncbi.nlm.nih.gov/pubmed/?term=Lrrc1", "Lrrc1")</f>
        <v>Lrrc1</v>
      </c>
      <c r="C426" s="20">
        <v>4.7240000000000002</v>
      </c>
      <c r="D426" s="22">
        <v>3.3839999999999999</v>
      </c>
      <c r="E426" s="3">
        <v>2.8460000000000001</v>
      </c>
    </row>
    <row r="427" spans="1:5" x14ac:dyDescent="0.25">
      <c r="A427" t="s">
        <v>1095</v>
      </c>
      <c r="B427" s="1" t="str">
        <f>HYPERLINK("http://www.ncbi.nlm.nih.gov/pubmed/?term=Rbm43", "Rbm43")</f>
        <v>Rbm43</v>
      </c>
      <c r="C427" s="20">
        <v>4.7779999999999996</v>
      </c>
      <c r="D427" s="22">
        <v>3.653</v>
      </c>
      <c r="E427" s="3">
        <v>2.7789999999999999</v>
      </c>
    </row>
    <row r="428" spans="1:5" x14ac:dyDescent="0.25">
      <c r="A428" t="s">
        <v>961</v>
      </c>
      <c r="B428" s="1" t="str">
        <f>HYPERLINK("http://www.ncbi.nlm.nih.gov/pubmed/?term=Cdr2l", "Cdr2l")</f>
        <v>Cdr2l</v>
      </c>
      <c r="C428" s="20">
        <v>4.4569999999999999</v>
      </c>
      <c r="D428" s="3">
        <v>2.2810000000000001</v>
      </c>
      <c r="E428" s="11">
        <v>1.206</v>
      </c>
    </row>
    <row r="429" spans="1:5" x14ac:dyDescent="0.25">
      <c r="A429" t="s">
        <v>1670</v>
      </c>
      <c r="B429" s="1" t="str">
        <f>HYPERLINK("http://www.ncbi.nlm.nih.gov/pubmed/?term=1810030O07Rik", "1810030O07Rik")</f>
        <v>1810030O07Rik</v>
      </c>
      <c r="C429" s="20">
        <v>4.7729999999999997</v>
      </c>
      <c r="D429" s="22">
        <v>3.6640000000000001</v>
      </c>
      <c r="E429" s="22">
        <v>3.3580000000000001</v>
      </c>
    </row>
    <row r="430" spans="1:5" x14ac:dyDescent="0.25">
      <c r="A430" t="s">
        <v>129</v>
      </c>
      <c r="B430" s="1" t="str">
        <f>HYPERLINK("http://www.ncbi.nlm.nih.gov/pubmed/?term=1110032A04Rik", "1110032A04Rik")</f>
        <v>1110032A04Rik</v>
      </c>
      <c r="C430" s="22">
        <v>3.9620000000000002</v>
      </c>
      <c r="D430" s="12">
        <v>0.16569999999999999</v>
      </c>
      <c r="E430" s="12">
        <v>-2.8109999999999999</v>
      </c>
    </row>
    <row r="431" spans="1:5" x14ac:dyDescent="0.25">
      <c r="A431" t="s">
        <v>28</v>
      </c>
      <c r="B431" s="1" t="str">
        <f>HYPERLINK("http://www.ncbi.nlm.nih.gov/pubmed/?term=Gpx8", "Gpx8")</f>
        <v>Gpx8</v>
      </c>
      <c r="C431" s="20">
        <v>4.681</v>
      </c>
      <c r="D431" s="22">
        <v>3.2810000000000001</v>
      </c>
      <c r="E431" s="12">
        <v>-1.7470000000000001</v>
      </c>
    </row>
    <row r="432" spans="1:5" x14ac:dyDescent="0.25">
      <c r="A432" t="s">
        <v>745</v>
      </c>
      <c r="B432" s="1" t="str">
        <f>HYPERLINK("http://www.ncbi.nlm.nih.gov/pubmed/?term=Kpna6", "Kpna6")</f>
        <v>Kpna6</v>
      </c>
      <c r="C432" s="20">
        <v>4.7939999999999996</v>
      </c>
      <c r="D432" s="22">
        <v>3.7869999999999999</v>
      </c>
      <c r="E432" s="22">
        <v>3.6419999999999999</v>
      </c>
    </row>
    <row r="433" spans="1:5" x14ac:dyDescent="0.25">
      <c r="A433" t="s">
        <v>1475</v>
      </c>
      <c r="B433" s="1" t="str">
        <f>HYPERLINK("http://www.ncbi.nlm.nih.gov/pubmed/?term=Ppcs", "Ppcs")</f>
        <v>Ppcs</v>
      </c>
      <c r="C433" s="20">
        <v>4.7389999999999999</v>
      </c>
      <c r="D433" s="22">
        <v>3.5579999999999998</v>
      </c>
      <c r="E433" s="22">
        <v>3.45</v>
      </c>
    </row>
    <row r="434" spans="1:5" x14ac:dyDescent="0.25">
      <c r="A434" t="s">
        <v>64</v>
      </c>
      <c r="B434" s="1" t="str">
        <f>HYPERLINK("http://www.ncbi.nlm.nih.gov/pubmed/?term=Cul4b", "Cul4b")</f>
        <v>Cul4b</v>
      </c>
      <c r="C434" s="20">
        <v>4.7110000000000003</v>
      </c>
      <c r="D434" s="22">
        <v>3.4369999999999998</v>
      </c>
      <c r="E434" s="3">
        <v>2.8130000000000002</v>
      </c>
    </row>
    <row r="435" spans="1:5" x14ac:dyDescent="0.25">
      <c r="A435" t="s">
        <v>97</v>
      </c>
      <c r="B435" s="1" t="str">
        <f>HYPERLINK("http://www.ncbi.nlm.nih.gov/pubmed/?term=Dpt", "Dpt")</f>
        <v>Dpt</v>
      </c>
      <c r="C435" s="22">
        <v>3.9140000000000001</v>
      </c>
      <c r="D435" s="12">
        <v>-2.0099999999999998</v>
      </c>
      <c r="E435" s="12">
        <v>-4.3390000000000004</v>
      </c>
    </row>
    <row r="436" spans="1:5" x14ac:dyDescent="0.25">
      <c r="A436" t="s">
        <v>1264</v>
      </c>
      <c r="B436" s="1" t="str">
        <f>HYPERLINK("http://www.ncbi.nlm.nih.gov/pubmed/?term=Myh10", "Myh10")</f>
        <v>Myh10</v>
      </c>
      <c r="C436" s="20">
        <v>4.3209999999999997</v>
      </c>
      <c r="D436" s="11">
        <v>1.758</v>
      </c>
      <c r="E436" s="11">
        <v>1.5389999999999999</v>
      </c>
    </row>
    <row r="437" spans="1:5" x14ac:dyDescent="0.25">
      <c r="A437" t="s">
        <v>1938</v>
      </c>
      <c r="B437" s="1" t="str">
        <f>HYPERLINK("http://www.ncbi.nlm.nih.gov/pubmed/?term=Galk1", "Galk1")</f>
        <v>Galk1</v>
      </c>
      <c r="C437" s="20">
        <v>4.6120000000000001</v>
      </c>
      <c r="D437" s="3">
        <v>2.83</v>
      </c>
      <c r="E437" s="22">
        <v>3.0179999999999998</v>
      </c>
    </row>
    <row r="438" spans="1:5" x14ac:dyDescent="0.25">
      <c r="A438" t="s">
        <v>172</v>
      </c>
      <c r="B438" s="1" t="str">
        <f>HYPERLINK("http://www.ncbi.nlm.nih.gov/pubmed/?term=Fam174b", "Fam174b")</f>
        <v>Fam174b</v>
      </c>
      <c r="C438" s="20">
        <v>4.2729999999999997</v>
      </c>
      <c r="D438" s="11">
        <v>1.5680000000000001</v>
      </c>
      <c r="E438" s="12">
        <v>0.47199999999999998</v>
      </c>
    </row>
    <row r="439" spans="1:5" x14ac:dyDescent="0.25">
      <c r="A439" t="s">
        <v>1965</v>
      </c>
      <c r="B439" s="1" t="str">
        <f>HYPERLINK("http://www.ncbi.nlm.nih.gov/pubmed/?term=Pmp22", "Pmp22")</f>
        <v>Pmp22</v>
      </c>
      <c r="C439" s="20">
        <v>4.1989999999999998</v>
      </c>
      <c r="D439" s="11">
        <v>1.252</v>
      </c>
      <c r="E439" s="12">
        <v>-1.9239999999999999</v>
      </c>
    </row>
    <row r="440" spans="1:5" x14ac:dyDescent="0.25">
      <c r="A440" t="s">
        <v>999</v>
      </c>
      <c r="B440" s="1" t="str">
        <f>HYPERLINK("http://www.ncbi.nlm.nih.gov/pubmed/?term=Wipf2", "Wipf2")</f>
        <v>Wipf2</v>
      </c>
      <c r="C440" s="20">
        <v>4.5979999999999999</v>
      </c>
      <c r="D440" s="3">
        <v>2.9870000000000001</v>
      </c>
      <c r="E440" s="3">
        <v>2.488</v>
      </c>
    </row>
    <row r="441" spans="1:5" x14ac:dyDescent="0.25">
      <c r="A441" t="s">
        <v>1879</v>
      </c>
      <c r="B441" s="1" t="str">
        <f>HYPERLINK("http://www.ncbi.nlm.nih.gov/pubmed/?term=Gpr68", "Gpr68")</f>
        <v>Gpr68</v>
      </c>
      <c r="C441" s="20">
        <v>4.6260000000000003</v>
      </c>
      <c r="D441" s="22">
        <v>3.0550000000000002</v>
      </c>
      <c r="E441" s="22">
        <v>3.125</v>
      </c>
    </row>
    <row r="442" spans="1:5" x14ac:dyDescent="0.25">
      <c r="A442" t="s">
        <v>484</v>
      </c>
      <c r="B442" s="1" t="str">
        <f>HYPERLINK("http://www.ncbi.nlm.nih.gov/pubmed/?term=Gpr30", "Gpr30")</f>
        <v>Gpr30</v>
      </c>
      <c r="C442" s="22">
        <v>3.9009999999999998</v>
      </c>
      <c r="D442" s="12">
        <v>-1.3009999999999999</v>
      </c>
      <c r="E442" s="12">
        <v>-1.5629999999999999</v>
      </c>
    </row>
    <row r="443" spans="1:5" x14ac:dyDescent="0.25">
      <c r="A443" t="s">
        <v>1418</v>
      </c>
      <c r="B443" s="1" t="str">
        <f>HYPERLINK("http://www.ncbi.nlm.nih.gov/pubmed/?term=Rbms3", "Rbms3")</f>
        <v>Rbms3</v>
      </c>
      <c r="C443" s="20">
        <v>4.5949999999999998</v>
      </c>
      <c r="D443" s="22">
        <v>3.028</v>
      </c>
      <c r="E443" s="3">
        <v>2.1869999999999998</v>
      </c>
    </row>
    <row r="444" spans="1:5" x14ac:dyDescent="0.25">
      <c r="A444" t="s">
        <v>1174</v>
      </c>
      <c r="B444" s="1" t="str">
        <f>HYPERLINK("http://www.ncbi.nlm.nih.gov/pubmed/?term=Xpot", "Xpot")</f>
        <v>Xpot</v>
      </c>
      <c r="C444" s="20">
        <v>4.6539999999999999</v>
      </c>
      <c r="D444" s="22">
        <v>3.2240000000000002</v>
      </c>
      <c r="E444" s="22">
        <v>3.2850000000000001</v>
      </c>
    </row>
    <row r="445" spans="1:5" x14ac:dyDescent="0.25">
      <c r="A445" t="s">
        <v>1254</v>
      </c>
      <c r="B445" s="1" t="str">
        <f>HYPERLINK("http://www.ncbi.nlm.nih.gov/pubmed/?term=Rnf13", "Rnf13")</f>
        <v>Rnf13</v>
      </c>
      <c r="C445" s="20">
        <v>4.742</v>
      </c>
      <c r="D445" s="22">
        <v>3.71</v>
      </c>
      <c r="E445" s="22">
        <v>3.3140000000000001</v>
      </c>
    </row>
    <row r="446" spans="1:5" x14ac:dyDescent="0.25">
      <c r="A446" t="s">
        <v>127</v>
      </c>
      <c r="B446" s="1" t="str">
        <f>HYPERLINK("http://www.ncbi.nlm.nih.gov/pubmed/?term=Rffl", "Rffl")</f>
        <v>Rffl</v>
      </c>
      <c r="C446" s="20">
        <v>4.6740000000000004</v>
      </c>
      <c r="D446" s="22">
        <v>3.45</v>
      </c>
      <c r="E446" s="3">
        <v>2.95</v>
      </c>
    </row>
    <row r="447" spans="1:5" x14ac:dyDescent="0.25">
      <c r="A447" t="s">
        <v>1511</v>
      </c>
      <c r="B447" s="1" t="str">
        <f>HYPERLINK("http://www.ncbi.nlm.nih.gov/pubmed/?term=Slc39a8", "Slc39a8")</f>
        <v>Slc39a8</v>
      </c>
      <c r="C447" s="20">
        <v>4.2679999999999998</v>
      </c>
      <c r="D447" s="11">
        <v>1.702</v>
      </c>
      <c r="E447" s="12">
        <v>-1.9219999999999999</v>
      </c>
    </row>
    <row r="448" spans="1:5" x14ac:dyDescent="0.25">
      <c r="A448" t="s">
        <v>1585</v>
      </c>
      <c r="B448" s="1" t="str">
        <f>HYPERLINK("http://www.ncbi.nlm.nih.gov/pubmed/?term=Hmgn5", "Hmgn5")</f>
        <v>Hmgn5</v>
      </c>
      <c r="C448" s="20">
        <v>4.6820000000000004</v>
      </c>
      <c r="D448" s="22">
        <v>3.4420000000000002</v>
      </c>
      <c r="E448" s="22">
        <v>3.52</v>
      </c>
    </row>
    <row r="449" spans="1:5" x14ac:dyDescent="0.25">
      <c r="A449" t="s">
        <v>1151</v>
      </c>
      <c r="B449" s="1" t="str">
        <f>HYPERLINK("http://www.ncbi.nlm.nih.gov/pubmed/?term=Pdzd2", "Pdzd2")</f>
        <v>Pdzd2</v>
      </c>
      <c r="C449" s="20">
        <v>4.5659999999999998</v>
      </c>
      <c r="D449" s="22">
        <v>3.0230000000000001</v>
      </c>
      <c r="E449" s="3">
        <v>2.6829999999999998</v>
      </c>
    </row>
    <row r="450" spans="1:5" x14ac:dyDescent="0.25">
      <c r="A450" t="s">
        <v>1518</v>
      </c>
      <c r="B450" s="1" t="str">
        <f>HYPERLINK("http://www.ncbi.nlm.nih.gov/pubmed/?term=Dtx4", "Dtx4")</f>
        <v>Dtx4</v>
      </c>
      <c r="C450" s="20">
        <v>4.42</v>
      </c>
      <c r="D450" s="3">
        <v>2.4</v>
      </c>
      <c r="E450" s="12">
        <v>-1.22</v>
      </c>
    </row>
    <row r="451" spans="1:5" x14ac:dyDescent="0.25">
      <c r="A451" t="s">
        <v>58</v>
      </c>
      <c r="B451" s="1" t="str">
        <f>HYPERLINK("http://www.ncbi.nlm.nih.gov/pubmed/?term=Ralgps2", "Ralgps2")</f>
        <v>Ralgps2</v>
      </c>
      <c r="C451" s="20">
        <v>4.3920000000000003</v>
      </c>
      <c r="D451" s="3">
        <v>2.2999999999999998</v>
      </c>
      <c r="E451" s="12">
        <v>0.62770000000000004</v>
      </c>
    </row>
    <row r="452" spans="1:5" x14ac:dyDescent="0.25">
      <c r="A452" t="s">
        <v>2028</v>
      </c>
      <c r="B452" s="1" t="str">
        <f>HYPERLINK("http://www.ncbi.nlm.nih.gov/pubmed/?term=Gm1673", "Gm1673")</f>
        <v>Gm1673</v>
      </c>
      <c r="C452" s="20">
        <v>4.4669999999999996</v>
      </c>
      <c r="D452" s="3">
        <v>2.6339999999999999</v>
      </c>
      <c r="E452" s="12">
        <v>0.40139999999999998</v>
      </c>
    </row>
    <row r="453" spans="1:5" x14ac:dyDescent="0.25">
      <c r="A453" t="s">
        <v>272</v>
      </c>
      <c r="B453" s="1" t="str">
        <f>HYPERLINK("http://www.ncbi.nlm.nih.gov/pubmed/?term=Snapc2", "Snapc2")</f>
        <v>Snapc2</v>
      </c>
      <c r="C453" s="20">
        <v>4.6639999999999997</v>
      </c>
      <c r="D453" s="22">
        <v>3.4870000000000001</v>
      </c>
      <c r="E453" s="22">
        <v>3.254</v>
      </c>
    </row>
    <row r="454" spans="1:5" x14ac:dyDescent="0.25">
      <c r="A454" t="s">
        <v>780</v>
      </c>
      <c r="B454" s="1" t="str">
        <f>HYPERLINK("http://www.ncbi.nlm.nih.gov/pubmed/?term=Zscan21", "Zscan21")</f>
        <v>Zscan21</v>
      </c>
      <c r="C454" s="20">
        <v>4.7009999999999996</v>
      </c>
      <c r="D454" s="22">
        <v>3.6560000000000001</v>
      </c>
      <c r="E454" s="22">
        <v>3.4329999999999998</v>
      </c>
    </row>
    <row r="455" spans="1:5" x14ac:dyDescent="0.25">
      <c r="A455" t="s">
        <v>1271</v>
      </c>
      <c r="B455" s="1" t="str">
        <f>HYPERLINK("http://www.ncbi.nlm.nih.gov/pubmed/?term=Lonrf1", "Lonrf1")</f>
        <v>Lonrf1</v>
      </c>
      <c r="C455" s="20">
        <v>4.7080000000000002</v>
      </c>
      <c r="D455" s="22">
        <v>3.47</v>
      </c>
      <c r="E455" s="22">
        <v>3.6859999999999999</v>
      </c>
    </row>
    <row r="456" spans="1:5" x14ac:dyDescent="0.25">
      <c r="A456" t="s">
        <v>882</v>
      </c>
      <c r="B456" s="1" t="str">
        <f>HYPERLINK("http://www.ncbi.nlm.nih.gov/pubmed/?term=1110012J17Rik", "1110012J17Rik")</f>
        <v>1110012J17Rik</v>
      </c>
      <c r="C456" s="22">
        <v>3.879</v>
      </c>
      <c r="D456" s="12">
        <v>0.10390000000000001</v>
      </c>
      <c r="E456" s="12">
        <v>-2.427</v>
      </c>
    </row>
    <row r="457" spans="1:5" x14ac:dyDescent="0.25">
      <c r="A457" t="s">
        <v>1245</v>
      </c>
      <c r="B457" s="1" t="str">
        <f>HYPERLINK("http://www.ncbi.nlm.nih.gov/pubmed/?term=Plcd1", "Plcd1")</f>
        <v>Plcd1</v>
      </c>
      <c r="C457" s="20">
        <v>4.6929999999999996</v>
      </c>
      <c r="D457" s="22">
        <v>3.6240000000000001</v>
      </c>
      <c r="E457" s="11">
        <v>1.9930000000000001</v>
      </c>
    </row>
    <row r="458" spans="1:5" x14ac:dyDescent="0.25">
      <c r="A458" t="s">
        <v>684</v>
      </c>
      <c r="B458" s="1" t="str">
        <f>HYPERLINK("http://www.ncbi.nlm.nih.gov/pubmed/?term=Scrn2", "Scrn2")</f>
        <v>Scrn2</v>
      </c>
      <c r="C458" s="20">
        <v>4.6020000000000003</v>
      </c>
      <c r="D458" s="22">
        <v>3.2309999999999999</v>
      </c>
      <c r="E458" s="22">
        <v>3.18</v>
      </c>
    </row>
    <row r="459" spans="1:5" x14ac:dyDescent="0.25">
      <c r="A459" t="s">
        <v>820</v>
      </c>
      <c r="B459" s="1" t="str">
        <f>HYPERLINK("http://www.ncbi.nlm.nih.gov/pubmed/?term=Lcmt1", "Lcmt1")</f>
        <v>Lcmt1</v>
      </c>
      <c r="C459" s="20">
        <v>4.71</v>
      </c>
      <c r="D459" s="22">
        <v>3.6379999999999999</v>
      </c>
      <c r="E459" s="22">
        <v>3.7010000000000001</v>
      </c>
    </row>
    <row r="460" spans="1:5" x14ac:dyDescent="0.25">
      <c r="A460" t="s">
        <v>507</v>
      </c>
      <c r="B460" s="1" t="str">
        <f>HYPERLINK("http://www.ncbi.nlm.nih.gov/pubmed/?term=Thra", "Thra")</f>
        <v>Thra</v>
      </c>
      <c r="C460" s="20">
        <v>4.4269999999999996</v>
      </c>
      <c r="D460" s="3">
        <v>2.4830000000000001</v>
      </c>
      <c r="E460" s="11">
        <v>1.3819999999999999</v>
      </c>
    </row>
    <row r="461" spans="1:5" x14ac:dyDescent="0.25">
      <c r="A461" t="s">
        <v>342</v>
      </c>
      <c r="B461" s="1" t="str">
        <f>HYPERLINK("http://www.ncbi.nlm.nih.gov/pubmed/?term=Fig4", "Fig4")</f>
        <v>Fig4</v>
      </c>
      <c r="C461" s="20">
        <v>4.6020000000000003</v>
      </c>
      <c r="D461" s="3">
        <v>2.73</v>
      </c>
      <c r="E461" s="22">
        <v>3.2389999999999999</v>
      </c>
    </row>
    <row r="462" spans="1:5" x14ac:dyDescent="0.25">
      <c r="A462" t="s">
        <v>154</v>
      </c>
      <c r="B462" s="1" t="str">
        <f>HYPERLINK("http://www.ncbi.nlm.nih.gov/pubmed/?term=Taok3", "Taok3")</f>
        <v>Taok3</v>
      </c>
      <c r="C462" s="20">
        <v>4.5579999999999998</v>
      </c>
      <c r="D462" s="22">
        <v>3.0569999999999999</v>
      </c>
      <c r="E462" s="3">
        <v>2.5950000000000002</v>
      </c>
    </row>
    <row r="463" spans="1:5" x14ac:dyDescent="0.25">
      <c r="A463" t="s">
        <v>1856</v>
      </c>
      <c r="B463" s="1" t="str">
        <f>HYPERLINK("http://www.ncbi.nlm.nih.gov/pubmed/?term=Acad11", "Acad11")</f>
        <v>Acad11</v>
      </c>
      <c r="C463" s="20">
        <v>4.694</v>
      </c>
      <c r="D463" s="22">
        <v>3.6589999999999998</v>
      </c>
      <c r="E463" s="22">
        <v>3.43</v>
      </c>
    </row>
    <row r="464" spans="1:5" x14ac:dyDescent="0.25">
      <c r="A464" t="s">
        <v>1918</v>
      </c>
      <c r="B464" s="1" t="str">
        <f>HYPERLINK("http://www.ncbi.nlm.nih.gov/pubmed/?term=Dock8", "Dock8")</f>
        <v>Dock8</v>
      </c>
      <c r="C464" s="20">
        <v>4.2030000000000003</v>
      </c>
      <c r="D464" s="12">
        <v>0.63380000000000003</v>
      </c>
      <c r="E464" s="11">
        <v>1.552</v>
      </c>
    </row>
    <row r="465" spans="1:5" x14ac:dyDescent="0.25">
      <c r="A465" t="s">
        <v>1237</v>
      </c>
      <c r="B465" s="1" t="str">
        <f>HYPERLINK("http://www.ncbi.nlm.nih.gov/pubmed/?term=Bnc1", "Bnc1")</f>
        <v>Bnc1</v>
      </c>
      <c r="C465" s="20">
        <v>4.4020000000000001</v>
      </c>
      <c r="D465" s="3">
        <v>2.4220000000000002</v>
      </c>
      <c r="E465" s="12">
        <v>-0.59970000000000001</v>
      </c>
    </row>
    <row r="466" spans="1:5" x14ac:dyDescent="0.25">
      <c r="A466" t="s">
        <v>1375</v>
      </c>
      <c r="B466" s="1" t="str">
        <f>HYPERLINK("http://www.ncbi.nlm.nih.gov/pubmed/?term=Def8", "Def8")</f>
        <v>Def8</v>
      </c>
      <c r="C466" s="20">
        <v>4.6769999999999996</v>
      </c>
      <c r="D466" s="22">
        <v>3.6269999999999998</v>
      </c>
      <c r="E466" s="22">
        <v>3.17</v>
      </c>
    </row>
    <row r="467" spans="1:5" x14ac:dyDescent="0.25">
      <c r="A467" t="s">
        <v>1275</v>
      </c>
      <c r="B467" s="1" t="str">
        <f>HYPERLINK("http://www.ncbi.nlm.nih.gov/pubmed/?term=Trip6", "Trip6")</f>
        <v>Trip6</v>
      </c>
      <c r="C467" s="20">
        <v>4.6879999999999997</v>
      </c>
      <c r="D467" s="22">
        <v>3.681</v>
      </c>
      <c r="E467" s="22">
        <v>3.077</v>
      </c>
    </row>
    <row r="468" spans="1:5" x14ac:dyDescent="0.25">
      <c r="A468" t="s">
        <v>184</v>
      </c>
      <c r="B468" s="1" t="str">
        <f>HYPERLINK("http://www.ncbi.nlm.nih.gov/pubmed/?term=Rrs1", "Rrs1")</f>
        <v>Rrs1</v>
      </c>
      <c r="C468" s="20">
        <v>4.6479999999999997</v>
      </c>
      <c r="D468" s="22">
        <v>3.5720000000000001</v>
      </c>
      <c r="E468" s="22">
        <v>3.37</v>
      </c>
    </row>
    <row r="469" spans="1:5" x14ac:dyDescent="0.25">
      <c r="A469" t="s">
        <v>561</v>
      </c>
      <c r="B469" s="1" t="str">
        <f>HYPERLINK("http://www.ncbi.nlm.nih.gov/pubmed/?term=Unkl", "Unkl")</f>
        <v>Unkl</v>
      </c>
      <c r="C469" s="20">
        <v>4.524</v>
      </c>
      <c r="D469" s="3">
        <v>2.4820000000000002</v>
      </c>
      <c r="E469" s="22">
        <v>3.036</v>
      </c>
    </row>
    <row r="470" spans="1:5" x14ac:dyDescent="0.25">
      <c r="A470" t="s">
        <v>1332</v>
      </c>
      <c r="B470" s="1" t="str">
        <f>HYPERLINK("http://www.ncbi.nlm.nih.gov/pubmed/?term=Mtus1", "Mtus1")</f>
        <v>Mtus1</v>
      </c>
      <c r="C470" s="20">
        <v>4.3440000000000003</v>
      </c>
      <c r="D470" s="3">
        <v>2.2629999999999999</v>
      </c>
      <c r="E470" s="12">
        <v>0.1391</v>
      </c>
    </row>
    <row r="471" spans="1:5" x14ac:dyDescent="0.25">
      <c r="A471" t="s">
        <v>1599</v>
      </c>
      <c r="B471" s="1" t="str">
        <f>HYPERLINK("http://www.ncbi.nlm.nih.gov/pubmed/?term=Klhl8", "Klhl8")</f>
        <v>Klhl8</v>
      </c>
      <c r="C471" s="20">
        <v>4.5</v>
      </c>
      <c r="D471" s="3">
        <v>2.9420000000000002</v>
      </c>
      <c r="E471" s="3">
        <v>2.0329999999999999</v>
      </c>
    </row>
    <row r="472" spans="1:5" x14ac:dyDescent="0.25">
      <c r="A472" t="s">
        <v>1319</v>
      </c>
      <c r="B472" s="1" t="str">
        <f>HYPERLINK("http://www.ncbi.nlm.nih.gov/pubmed/?term=Tpcn2", "Tpcn2")</f>
        <v>Tpcn2</v>
      </c>
      <c r="C472" s="20">
        <v>4.6399999999999997</v>
      </c>
      <c r="D472" s="22">
        <v>3.55</v>
      </c>
      <c r="E472" s="3">
        <v>2.0569999999999999</v>
      </c>
    </row>
    <row r="473" spans="1:5" x14ac:dyDescent="0.25">
      <c r="A473" t="s">
        <v>1061</v>
      </c>
      <c r="B473" s="1" t="str">
        <f>HYPERLINK("http://www.ncbi.nlm.nih.gov/pubmed/?term=Tfdp2", "Tfdp2")</f>
        <v>Tfdp2</v>
      </c>
      <c r="C473" s="20">
        <v>4.5830000000000002</v>
      </c>
      <c r="D473" s="22">
        <v>3.3119999999999998</v>
      </c>
      <c r="E473" s="3">
        <v>2.13</v>
      </c>
    </row>
    <row r="474" spans="1:5" x14ac:dyDescent="0.25">
      <c r="A474" t="s">
        <v>1667</v>
      </c>
      <c r="B474" s="1" t="str">
        <f>HYPERLINK("http://www.ncbi.nlm.nih.gov/pubmed/?term=Igfbp3", "Igfbp3")</f>
        <v>Igfbp3</v>
      </c>
      <c r="C474" s="20">
        <v>4.5030000000000001</v>
      </c>
      <c r="D474" s="3">
        <v>2.9630000000000001</v>
      </c>
      <c r="E474" s="12">
        <v>-0.29570000000000002</v>
      </c>
    </row>
    <row r="475" spans="1:5" x14ac:dyDescent="0.25">
      <c r="A475" t="s">
        <v>2062</v>
      </c>
      <c r="B475" s="1" t="str">
        <f>HYPERLINK("http://www.ncbi.nlm.nih.gov/pubmed/?term=Trim59", "Trim59")</f>
        <v>Trim59</v>
      </c>
      <c r="C475" s="20">
        <v>4.5490000000000004</v>
      </c>
      <c r="D475" s="3">
        <v>2.9630000000000001</v>
      </c>
      <c r="E475" s="22">
        <v>3.1789999999999998</v>
      </c>
    </row>
    <row r="476" spans="1:5" x14ac:dyDescent="0.25">
      <c r="A476" t="s">
        <v>998</v>
      </c>
      <c r="B476" s="1" t="str">
        <f>HYPERLINK("http://www.ncbi.nlm.nih.gov/pubmed/?term=Itgb2", "Itgb2")</f>
        <v>Itgb2</v>
      </c>
      <c r="C476" s="22">
        <v>3.8090000000000002</v>
      </c>
      <c r="D476" s="12">
        <v>-1.27</v>
      </c>
      <c r="E476" s="12">
        <v>-1.117</v>
      </c>
    </row>
    <row r="477" spans="1:5" x14ac:dyDescent="0.25">
      <c r="A477" t="s">
        <v>1888</v>
      </c>
      <c r="B477" s="1" t="str">
        <f>HYPERLINK("http://www.ncbi.nlm.nih.gov/pubmed/?term=Nell2", "Nell2")</f>
        <v>Nell2</v>
      </c>
      <c r="C477" s="20">
        <v>4.2519999999999998</v>
      </c>
      <c r="D477" s="11">
        <v>1.919</v>
      </c>
      <c r="E477" s="12">
        <v>-1.9390000000000001</v>
      </c>
    </row>
    <row r="478" spans="1:5" x14ac:dyDescent="0.25">
      <c r="A478" t="s">
        <v>140</v>
      </c>
      <c r="B478" s="1" t="str">
        <f>HYPERLINK("http://www.ncbi.nlm.nih.gov/pubmed/?term=Prkcq", "Prkcq")</f>
        <v>Prkcq</v>
      </c>
      <c r="C478" s="20">
        <v>4.33</v>
      </c>
      <c r="D478" s="11">
        <v>1.802</v>
      </c>
      <c r="E478" s="3">
        <v>2.2570000000000001</v>
      </c>
    </row>
    <row r="479" spans="1:5" x14ac:dyDescent="0.25">
      <c r="A479" t="s">
        <v>67</v>
      </c>
      <c r="B479" s="1" t="str">
        <f>HYPERLINK("http://www.ncbi.nlm.nih.gov/pubmed/?term=Ivd", "Ivd")</f>
        <v>Ivd</v>
      </c>
      <c r="C479" s="20">
        <v>4.5830000000000002</v>
      </c>
      <c r="D479" s="22">
        <v>3.3580000000000001</v>
      </c>
      <c r="E479" s="3">
        <v>2.8450000000000002</v>
      </c>
    </row>
    <row r="480" spans="1:5" x14ac:dyDescent="0.25">
      <c r="A480" t="s">
        <v>737</v>
      </c>
      <c r="B480" s="1" t="str">
        <f>HYPERLINK("http://www.ncbi.nlm.nih.gov/pubmed/?term=1110059M19Rik", "1110059M19Rik")</f>
        <v>1110059M19Rik</v>
      </c>
      <c r="C480" s="20">
        <v>4.1379999999999999</v>
      </c>
      <c r="D480" s="12">
        <v>-1.302</v>
      </c>
      <c r="E480" s="11">
        <v>1.44</v>
      </c>
    </row>
    <row r="481" spans="1:5" x14ac:dyDescent="0.25">
      <c r="A481" t="s">
        <v>319</v>
      </c>
      <c r="B481" s="1" t="str">
        <f>HYPERLINK("http://www.ncbi.nlm.nih.gov/pubmed/?term=Zfp319", "Zfp319")</f>
        <v>Zfp319</v>
      </c>
      <c r="C481" s="20">
        <v>4.2080000000000002</v>
      </c>
      <c r="D481" s="11">
        <v>1.744</v>
      </c>
      <c r="E481" s="12">
        <v>0.93700000000000006</v>
      </c>
    </row>
    <row r="482" spans="1:5" x14ac:dyDescent="0.25">
      <c r="A482" t="s">
        <v>1060</v>
      </c>
      <c r="B482" s="1" t="str">
        <f>HYPERLINK("http://www.ncbi.nlm.nih.gov/pubmed/?term=Dbp", "Dbp")</f>
        <v>Dbp</v>
      </c>
      <c r="C482" s="20">
        <v>4.6230000000000002</v>
      </c>
      <c r="D482" s="22">
        <v>3.4649999999999999</v>
      </c>
      <c r="E482" s="22">
        <v>3.5379999999999998</v>
      </c>
    </row>
    <row r="483" spans="1:5" x14ac:dyDescent="0.25">
      <c r="A483" t="s">
        <v>1023</v>
      </c>
      <c r="B483" s="1" t="str">
        <f>HYPERLINK("http://www.ncbi.nlm.nih.gov/pubmed/?term=Igfbp7", "Igfbp7")</f>
        <v>Igfbp7</v>
      </c>
      <c r="C483" s="22">
        <v>3.8719999999999999</v>
      </c>
      <c r="D483" s="12">
        <v>0.31990000000000002</v>
      </c>
      <c r="E483" s="12">
        <v>-0.64290000000000003</v>
      </c>
    </row>
    <row r="484" spans="1:5" x14ac:dyDescent="0.25">
      <c r="A484" t="s">
        <v>1353</v>
      </c>
      <c r="B484" s="1" t="str">
        <f>HYPERLINK("http://www.ncbi.nlm.nih.gov/pubmed/?term=Adk", "Adk")</f>
        <v>Adk</v>
      </c>
      <c r="C484" s="20">
        <v>4.4189999999999996</v>
      </c>
      <c r="D484" s="3">
        <v>2.6829999999999998</v>
      </c>
      <c r="E484" s="3">
        <v>2.0009999999999999</v>
      </c>
    </row>
    <row r="485" spans="1:5" x14ac:dyDescent="0.25">
      <c r="A485" t="s">
        <v>1140</v>
      </c>
      <c r="B485" s="1" t="str">
        <f>HYPERLINK("http://www.ncbi.nlm.nih.gov/pubmed/?term=Tgif2", "Tgif2")</f>
        <v>Tgif2</v>
      </c>
      <c r="C485" s="20">
        <v>4.58</v>
      </c>
      <c r="D485" s="22">
        <v>3.3940000000000001</v>
      </c>
      <c r="E485" s="3">
        <v>2.556</v>
      </c>
    </row>
    <row r="486" spans="1:5" x14ac:dyDescent="0.25">
      <c r="A486" t="s">
        <v>253</v>
      </c>
      <c r="B486" s="1" t="str">
        <f>HYPERLINK("http://www.ncbi.nlm.nih.gov/pubmed/?term=Col8a2", "Col8a2")</f>
        <v>Col8a2</v>
      </c>
      <c r="C486" s="22">
        <v>3.79</v>
      </c>
      <c r="D486" s="12">
        <v>-2.4550000000000001</v>
      </c>
      <c r="E486" s="12">
        <v>-1.994</v>
      </c>
    </row>
    <row r="487" spans="1:5" x14ac:dyDescent="0.25">
      <c r="A487" t="s">
        <v>1853</v>
      </c>
      <c r="B487" s="1" t="str">
        <f>HYPERLINK("http://www.ncbi.nlm.nih.gov/pubmed/?term=Aldh6a1", "Aldh6a1")</f>
        <v>Aldh6a1</v>
      </c>
      <c r="C487" s="20">
        <v>4.4329999999999998</v>
      </c>
      <c r="D487" s="3">
        <v>2.7869999999999999</v>
      </c>
      <c r="E487" s="11">
        <v>1.194</v>
      </c>
    </row>
    <row r="488" spans="1:5" x14ac:dyDescent="0.25">
      <c r="A488" t="s">
        <v>1720</v>
      </c>
      <c r="B488" s="1" t="str">
        <f>HYPERLINK("http://www.ncbi.nlm.nih.gov/pubmed/?term=Lix1l", "Lix1l")</f>
        <v>Lix1l</v>
      </c>
      <c r="C488" s="20">
        <v>4.6189999999999998</v>
      </c>
      <c r="D488" s="22">
        <v>3.597</v>
      </c>
      <c r="E488" s="11">
        <v>1.984</v>
      </c>
    </row>
    <row r="489" spans="1:5" x14ac:dyDescent="0.25">
      <c r="A489" t="s">
        <v>3</v>
      </c>
      <c r="B489" s="1" t="str">
        <f>HYPERLINK("http://www.ncbi.nlm.nih.gov/pubmed/?term=Nes", "Nes")</f>
        <v>Nes</v>
      </c>
      <c r="C489" s="22">
        <v>3.7789999999999999</v>
      </c>
      <c r="D489" s="12">
        <v>-0.5595</v>
      </c>
      <c r="E489" s="12">
        <v>-0.1721</v>
      </c>
    </row>
    <row r="490" spans="1:5" x14ac:dyDescent="0.25">
      <c r="A490" t="s">
        <v>574</v>
      </c>
      <c r="B490" s="1" t="str">
        <f>HYPERLINK("http://www.ncbi.nlm.nih.gov/pubmed/?term=Gpm6b", "Gpm6b")</f>
        <v>Gpm6b</v>
      </c>
      <c r="C490" s="22">
        <v>3.85</v>
      </c>
      <c r="D490" s="12">
        <v>-1.0999999999999999E-2</v>
      </c>
      <c r="E490" s="12">
        <v>0.30940000000000001</v>
      </c>
    </row>
    <row r="491" spans="1:5" x14ac:dyDescent="0.25">
      <c r="A491" t="s">
        <v>378</v>
      </c>
      <c r="B491" s="1" t="str">
        <f>HYPERLINK("http://www.ncbi.nlm.nih.gov/pubmed/?term=Lass3", "Lass3")</f>
        <v>Lass3</v>
      </c>
      <c r="C491" s="22">
        <v>3.9369999999999998</v>
      </c>
      <c r="D491" s="12">
        <v>0.70450000000000002</v>
      </c>
      <c r="E491" s="12">
        <v>-1.4390000000000001</v>
      </c>
    </row>
    <row r="492" spans="1:5" x14ac:dyDescent="0.25">
      <c r="A492" t="s">
        <v>79</v>
      </c>
      <c r="B492" s="1" t="str">
        <f>HYPERLINK("http://www.ncbi.nlm.nih.gov/pubmed/?term=Sema4b", "Sema4b")</f>
        <v>Sema4b</v>
      </c>
      <c r="C492" s="20">
        <v>4.5949999999999998</v>
      </c>
      <c r="D492" s="22">
        <v>3.5830000000000002</v>
      </c>
      <c r="E492" s="22">
        <v>3.21</v>
      </c>
    </row>
    <row r="493" spans="1:5" x14ac:dyDescent="0.25">
      <c r="A493" t="s">
        <v>1216</v>
      </c>
      <c r="B493" s="1" t="str">
        <f>HYPERLINK("http://www.ncbi.nlm.nih.gov/pubmed/?term=Ctf1", "Ctf1")</f>
        <v>Ctf1</v>
      </c>
      <c r="C493" s="20">
        <v>4.4160000000000004</v>
      </c>
      <c r="D493" s="3">
        <v>2.8319999999999999</v>
      </c>
      <c r="E493" s="11">
        <v>1.5429999999999999</v>
      </c>
    </row>
    <row r="494" spans="1:5" x14ac:dyDescent="0.25">
      <c r="A494" t="s">
        <v>362</v>
      </c>
      <c r="B494" s="1" t="str">
        <f>HYPERLINK("http://www.ncbi.nlm.nih.gov/pubmed/?term=Spg20", "Spg20")</f>
        <v>Spg20</v>
      </c>
      <c r="C494" s="20">
        <v>4.4039999999999999</v>
      </c>
      <c r="D494" s="3">
        <v>2.7829999999999999</v>
      </c>
      <c r="E494" s="11">
        <v>1.9690000000000001</v>
      </c>
    </row>
    <row r="495" spans="1:5" x14ac:dyDescent="0.25">
      <c r="A495" t="s">
        <v>1905</v>
      </c>
      <c r="B495" s="1" t="str">
        <f>HYPERLINK("http://www.ncbi.nlm.nih.gov/pubmed/?term=Map4k5", "Map4k5")</f>
        <v>Map4k5</v>
      </c>
      <c r="C495" s="20">
        <v>4.4269999999999996</v>
      </c>
      <c r="D495" s="3">
        <v>2.915</v>
      </c>
      <c r="E495" s="11">
        <v>1.3149999999999999</v>
      </c>
    </row>
    <row r="496" spans="1:5" x14ac:dyDescent="0.25">
      <c r="A496" t="s">
        <v>740</v>
      </c>
      <c r="B496" s="1" t="str">
        <f>HYPERLINK("http://www.ncbi.nlm.nih.gov/pubmed/?term=Sgsm2", "Sgsm2")</f>
        <v>Sgsm2</v>
      </c>
      <c r="C496" s="20">
        <v>4.423</v>
      </c>
      <c r="D496" s="3">
        <v>2.9220000000000002</v>
      </c>
      <c r="E496" s="12">
        <v>0.94289999999999996</v>
      </c>
    </row>
    <row r="497" spans="1:5" x14ac:dyDescent="0.25">
      <c r="A497" t="s">
        <v>1548</v>
      </c>
      <c r="B497" s="1" t="str">
        <f>HYPERLINK("http://www.ncbi.nlm.nih.gov/pubmed/?term=Bbs7", "Bbs7")</f>
        <v>Bbs7</v>
      </c>
      <c r="C497" s="20">
        <v>4.2450000000000001</v>
      </c>
      <c r="D497" s="11">
        <v>1.7010000000000001</v>
      </c>
      <c r="E497" s="3">
        <v>2.181</v>
      </c>
    </row>
    <row r="498" spans="1:5" x14ac:dyDescent="0.25">
      <c r="A498" t="s">
        <v>1070</v>
      </c>
      <c r="B498" s="1" t="str">
        <f>HYPERLINK("http://www.ncbi.nlm.nih.gov/pubmed/?term=Adamts10", "Adamts10")</f>
        <v>Adamts10</v>
      </c>
      <c r="C498" s="20">
        <v>4.0670000000000002</v>
      </c>
      <c r="D498" s="11">
        <v>1.4179999999999999</v>
      </c>
      <c r="E498" s="12">
        <v>-0.71750000000000003</v>
      </c>
    </row>
    <row r="499" spans="1:5" x14ac:dyDescent="0.25">
      <c r="A499" t="s">
        <v>2005</v>
      </c>
      <c r="B499" s="1" t="str">
        <f>HYPERLINK("http://www.ncbi.nlm.nih.gov/pubmed/?term=Ust", "Ust")</f>
        <v>Ust</v>
      </c>
      <c r="C499" s="22">
        <v>3.9089999999999998</v>
      </c>
      <c r="D499" s="12">
        <v>0.74229999999999996</v>
      </c>
      <c r="E499" s="12">
        <v>-0.29530000000000001</v>
      </c>
    </row>
    <row r="500" spans="1:5" x14ac:dyDescent="0.25">
      <c r="A500" t="s">
        <v>844</v>
      </c>
      <c r="B500" s="1" t="str">
        <f>HYPERLINK("http://www.ncbi.nlm.nih.gov/pubmed/?term=Nr3c1", "Nr3c1")</f>
        <v>Nr3c1</v>
      </c>
      <c r="C500" s="20">
        <v>4.5540000000000003</v>
      </c>
      <c r="D500" s="22">
        <v>3.3079999999999998</v>
      </c>
      <c r="E500" s="22">
        <v>3.54</v>
      </c>
    </row>
    <row r="501" spans="1:5" x14ac:dyDescent="0.25">
      <c r="A501" t="s">
        <v>806</v>
      </c>
      <c r="B501" s="1" t="str">
        <f>HYPERLINK("http://www.ncbi.nlm.nih.gov/pubmed/?term=Itgb7", "Itgb7")</f>
        <v>Itgb7</v>
      </c>
      <c r="C501" s="22">
        <v>3.79</v>
      </c>
      <c r="D501" s="12">
        <v>0.25290000000000001</v>
      </c>
      <c r="E501" s="12">
        <v>-1.006</v>
      </c>
    </row>
    <row r="502" spans="1:5" x14ac:dyDescent="0.25">
      <c r="A502" t="s">
        <v>1766</v>
      </c>
      <c r="B502" s="1" t="str">
        <f>HYPERLINK("http://www.ncbi.nlm.nih.gov/pubmed/?term=Mafb", "Mafb")</f>
        <v>Mafb</v>
      </c>
      <c r="C502" s="20">
        <v>4.3819999999999997</v>
      </c>
      <c r="D502" s="3">
        <v>2.8109999999999999</v>
      </c>
      <c r="E502" s="3">
        <v>2.7240000000000002</v>
      </c>
    </row>
    <row r="503" spans="1:5" x14ac:dyDescent="0.25">
      <c r="A503" t="s">
        <v>838</v>
      </c>
      <c r="B503" s="1" t="str">
        <f>HYPERLINK("http://www.ncbi.nlm.nih.gov/pubmed/?term=1810043G02Rik", "1810043G02Rik")</f>
        <v>1810043G02Rik</v>
      </c>
      <c r="C503" s="20">
        <v>4.4420000000000002</v>
      </c>
      <c r="D503" s="22">
        <v>3.1230000000000002</v>
      </c>
      <c r="E503" s="3">
        <v>2.327</v>
      </c>
    </row>
    <row r="504" spans="1:5" x14ac:dyDescent="0.25">
      <c r="A504" t="s">
        <v>244</v>
      </c>
      <c r="B504" s="1" t="str">
        <f>HYPERLINK("http://www.ncbi.nlm.nih.gov/pubmed/?term=Kif13a", "Kif13a")</f>
        <v>Kif13a</v>
      </c>
      <c r="C504" s="20">
        <v>4.5039999999999996</v>
      </c>
      <c r="D504" s="22">
        <v>3.407</v>
      </c>
      <c r="E504" s="22">
        <v>3.0649999999999999</v>
      </c>
    </row>
    <row r="505" spans="1:5" x14ac:dyDescent="0.25">
      <c r="A505" t="s">
        <v>1514</v>
      </c>
      <c r="B505" s="1" t="str">
        <f>HYPERLINK("http://www.ncbi.nlm.nih.gov/pubmed/?term=Kank2", "Kank2")</f>
        <v>Kank2</v>
      </c>
      <c r="C505" s="20">
        <v>4.3970000000000002</v>
      </c>
      <c r="D505" s="3">
        <v>2.9489999999999998</v>
      </c>
      <c r="E505" s="3">
        <v>2.294</v>
      </c>
    </row>
    <row r="506" spans="1:5" x14ac:dyDescent="0.25">
      <c r="A506" t="s">
        <v>524</v>
      </c>
      <c r="B506" s="1" t="str">
        <f>HYPERLINK("http://www.ncbi.nlm.nih.gov/pubmed/?term=Arl2", "Arl2")</f>
        <v>Arl2</v>
      </c>
      <c r="C506" s="20">
        <v>4.4779999999999998</v>
      </c>
      <c r="D506" s="22">
        <v>3.306</v>
      </c>
      <c r="E506" s="3">
        <v>2.4049999999999998</v>
      </c>
    </row>
    <row r="507" spans="1:5" x14ac:dyDescent="0.25">
      <c r="A507" t="s">
        <v>566</v>
      </c>
      <c r="B507" s="1" t="str">
        <f>HYPERLINK("http://www.ncbi.nlm.nih.gov/pubmed/?term=Atp7b", "Atp7b")</f>
        <v>Atp7b</v>
      </c>
      <c r="C507" s="22">
        <v>3.7130000000000001</v>
      </c>
      <c r="D507" s="12">
        <v>-2.8559999999999999</v>
      </c>
      <c r="E507" s="12">
        <v>-2.9409999999999998</v>
      </c>
    </row>
    <row r="508" spans="1:5" x14ac:dyDescent="0.25">
      <c r="A508" t="s">
        <v>77</v>
      </c>
      <c r="B508" s="1" t="str">
        <f>HYPERLINK("http://www.ncbi.nlm.nih.gov/pubmed/?term=Spry1", "Spry1")</f>
        <v>Spry1</v>
      </c>
      <c r="C508" s="20">
        <v>4.2510000000000003</v>
      </c>
      <c r="D508" s="3">
        <v>2.3330000000000002</v>
      </c>
      <c r="E508" s="12">
        <v>0.49930000000000002</v>
      </c>
    </row>
    <row r="509" spans="1:5" x14ac:dyDescent="0.25">
      <c r="A509" t="s">
        <v>1832</v>
      </c>
      <c r="B509" s="1" t="str">
        <f>HYPERLINK("http://www.ncbi.nlm.nih.gov/pubmed/?term=Samd1", "Samd1")</f>
        <v>Samd1</v>
      </c>
      <c r="C509" s="20">
        <v>4.4349999999999996</v>
      </c>
      <c r="D509" s="22">
        <v>3.1309999999999998</v>
      </c>
      <c r="E509" s="22">
        <v>3.141</v>
      </c>
    </row>
    <row r="510" spans="1:5" x14ac:dyDescent="0.25">
      <c r="A510" t="s">
        <v>689</v>
      </c>
      <c r="B510" s="1" t="str">
        <f>HYPERLINK("http://www.ncbi.nlm.nih.gov/pubmed/?term=Sntb2", "Sntb2")</f>
        <v>Sntb2</v>
      </c>
      <c r="C510" s="20">
        <v>4.4660000000000002</v>
      </c>
      <c r="D510" s="22">
        <v>3.3109999999999999</v>
      </c>
      <c r="E510" s="12">
        <v>0.94379999999999997</v>
      </c>
    </row>
    <row r="511" spans="1:5" x14ac:dyDescent="0.25">
      <c r="A511" t="s">
        <v>1233</v>
      </c>
      <c r="B511" s="1" t="str">
        <f>HYPERLINK("http://www.ncbi.nlm.nih.gov/pubmed/?term=Pank3", "Pank3")</f>
        <v>Pank3</v>
      </c>
      <c r="C511" s="20">
        <v>4.444</v>
      </c>
      <c r="D511" s="22">
        <v>3.2330000000000001</v>
      </c>
      <c r="E511" s="3">
        <v>2.8820000000000001</v>
      </c>
    </row>
    <row r="512" spans="1:5" x14ac:dyDescent="0.25">
      <c r="A512" t="s">
        <v>496</v>
      </c>
      <c r="B512" s="1" t="str">
        <f>HYPERLINK("http://www.ncbi.nlm.nih.gov/pubmed/?term=Crlf3", "Crlf3")</f>
        <v>Crlf3</v>
      </c>
      <c r="C512" s="20">
        <v>4.4420000000000002</v>
      </c>
      <c r="D512" s="3">
        <v>2.9809999999999999</v>
      </c>
      <c r="E512" s="22">
        <v>3.2290000000000001</v>
      </c>
    </row>
    <row r="513" spans="1:5" x14ac:dyDescent="0.25">
      <c r="A513" t="s">
        <v>1184</v>
      </c>
      <c r="B513" s="1" t="str">
        <f>HYPERLINK("http://www.ncbi.nlm.nih.gov/pubmed/?term=Enoph1", "Enoph1")</f>
        <v>Enoph1</v>
      </c>
      <c r="C513" s="20">
        <v>4.4509999999999996</v>
      </c>
      <c r="D513" s="22">
        <v>3.2759999999999998</v>
      </c>
      <c r="E513" s="22">
        <v>3.2709999999999999</v>
      </c>
    </row>
    <row r="514" spans="1:5" x14ac:dyDescent="0.25">
      <c r="A514" t="s">
        <v>2052</v>
      </c>
      <c r="B514" s="1" t="str">
        <f>HYPERLINK("http://www.ncbi.nlm.nih.gov/pubmed/?term=Pdk1", "Pdk1")</f>
        <v>Pdk1</v>
      </c>
      <c r="C514" s="20">
        <v>4.2430000000000003</v>
      </c>
      <c r="D514" s="3">
        <v>2.2789999999999999</v>
      </c>
      <c r="E514" s="3">
        <v>2.3780000000000001</v>
      </c>
    </row>
    <row r="515" spans="1:5" x14ac:dyDescent="0.25">
      <c r="A515" t="s">
        <v>1929</v>
      </c>
      <c r="B515" s="1" t="str">
        <f>HYPERLINK("http://www.ncbi.nlm.nih.gov/pubmed/?term=Crabp2", "Crabp2")</f>
        <v>Crabp2</v>
      </c>
      <c r="C515" s="20">
        <v>4.3689999999999998</v>
      </c>
      <c r="D515" s="3">
        <v>2.9369999999999998</v>
      </c>
      <c r="E515" s="11">
        <v>1.9570000000000001</v>
      </c>
    </row>
    <row r="516" spans="1:5" x14ac:dyDescent="0.25">
      <c r="A516" t="s">
        <v>1456</v>
      </c>
      <c r="B516" s="1" t="str">
        <f>HYPERLINK("http://www.ncbi.nlm.nih.gov/pubmed/?term=Lgmn", "Lgmn")</f>
        <v>Lgmn</v>
      </c>
      <c r="C516" s="20">
        <v>4.4649999999999999</v>
      </c>
      <c r="D516" s="22">
        <v>3.4020000000000001</v>
      </c>
      <c r="E516" s="22">
        <v>3.242</v>
      </c>
    </row>
    <row r="517" spans="1:5" x14ac:dyDescent="0.25">
      <c r="A517" t="s">
        <v>616</v>
      </c>
      <c r="B517" s="1" t="str">
        <f>HYPERLINK("http://www.ncbi.nlm.nih.gov/pubmed/?term=Gabpa", "Gabpa")</f>
        <v>Gabpa</v>
      </c>
      <c r="C517" s="20">
        <v>4.4710000000000001</v>
      </c>
      <c r="D517" s="22">
        <v>3.4369999999999998</v>
      </c>
      <c r="E517" s="22">
        <v>3.319</v>
      </c>
    </row>
    <row r="518" spans="1:5" x14ac:dyDescent="0.25">
      <c r="A518" t="s">
        <v>644</v>
      </c>
      <c r="B518" s="1" t="str">
        <f>HYPERLINK("http://www.ncbi.nlm.nih.gov/pubmed/?term=Mbnl3", "Mbnl3")</f>
        <v>Mbnl3</v>
      </c>
      <c r="C518" s="20">
        <v>4.3579999999999997</v>
      </c>
      <c r="D518" s="11">
        <v>1.827</v>
      </c>
      <c r="E518" s="3">
        <v>2.9609999999999999</v>
      </c>
    </row>
    <row r="519" spans="1:5" x14ac:dyDescent="0.25">
      <c r="A519" t="s">
        <v>686</v>
      </c>
      <c r="B519" s="1" t="str">
        <f>HYPERLINK("http://www.ncbi.nlm.nih.gov/pubmed/?term=Dennd2c", "Dennd2c")</f>
        <v>Dennd2c</v>
      </c>
      <c r="C519" s="20">
        <v>4.282</v>
      </c>
      <c r="D519" s="11">
        <v>1.4630000000000001</v>
      </c>
      <c r="E519" s="3">
        <v>2.6309999999999998</v>
      </c>
    </row>
    <row r="520" spans="1:5" x14ac:dyDescent="0.25">
      <c r="A520" t="s">
        <v>149</v>
      </c>
      <c r="B520" s="1" t="str">
        <f>HYPERLINK("http://www.ncbi.nlm.nih.gov/pubmed/?term=Cachd1", "Cachd1")</f>
        <v>Cachd1</v>
      </c>
      <c r="C520" s="20">
        <v>4.4560000000000004</v>
      </c>
      <c r="D520" s="22">
        <v>3.3849999999999998</v>
      </c>
      <c r="E520" s="22">
        <v>3.0840000000000001</v>
      </c>
    </row>
    <row r="521" spans="1:5" x14ac:dyDescent="0.25">
      <c r="A521" t="s">
        <v>1127</v>
      </c>
      <c r="B521" s="1" t="str">
        <f>HYPERLINK("http://www.ncbi.nlm.nih.gov/pubmed/?term=Cldn8", "Cldn8")</f>
        <v>Cldn8</v>
      </c>
      <c r="C521" s="22">
        <v>3.714</v>
      </c>
      <c r="D521" s="12">
        <v>0.17949999999999999</v>
      </c>
      <c r="E521" s="12">
        <v>-2.9609999999999999</v>
      </c>
    </row>
    <row r="522" spans="1:5" x14ac:dyDescent="0.25">
      <c r="A522" t="s">
        <v>1316</v>
      </c>
      <c r="B522" s="1" t="str">
        <f>HYPERLINK("http://www.ncbi.nlm.nih.gov/pubmed/?term=Riiad1", "Riiad1")</f>
        <v>Riiad1</v>
      </c>
      <c r="C522" s="20">
        <v>4.1269999999999998</v>
      </c>
      <c r="D522" s="11">
        <v>1.99</v>
      </c>
      <c r="E522" s="12">
        <v>-4.7840000000000001E-2</v>
      </c>
    </row>
    <row r="523" spans="1:5" x14ac:dyDescent="0.25">
      <c r="A523" t="s">
        <v>339</v>
      </c>
      <c r="B523" s="1" t="str">
        <f>HYPERLINK("http://www.ncbi.nlm.nih.gov/pubmed/?term=4930404N11Rik", "4930404N11Rik")</f>
        <v>4930404N11Rik</v>
      </c>
      <c r="C523" s="20">
        <v>4.1269999999999998</v>
      </c>
      <c r="D523" s="12">
        <v>0.26769999999999999</v>
      </c>
      <c r="E523" s="3">
        <v>2.0289999999999999</v>
      </c>
    </row>
    <row r="524" spans="1:5" x14ac:dyDescent="0.25">
      <c r="A524" t="s">
        <v>347</v>
      </c>
      <c r="B524" s="1" t="str">
        <f>HYPERLINK("http://www.ncbi.nlm.nih.gov/pubmed/?term=Nlrp1b", "Nlrp1b")</f>
        <v>Nlrp1b</v>
      </c>
      <c r="C524" s="20">
        <v>4.2679999999999998</v>
      </c>
      <c r="D524" s="3">
        <v>2.6389999999999998</v>
      </c>
      <c r="E524" s="11">
        <v>1.3440000000000001</v>
      </c>
    </row>
    <row r="525" spans="1:5" x14ac:dyDescent="0.25">
      <c r="A525" t="s">
        <v>1955</v>
      </c>
      <c r="B525" s="1" t="str">
        <f>HYPERLINK("http://www.ncbi.nlm.nih.gov/pubmed/?term=Ets1", "Ets1")</f>
        <v>Ets1</v>
      </c>
      <c r="C525" s="20">
        <v>4.2009999999999996</v>
      </c>
      <c r="D525" s="3">
        <v>2.427</v>
      </c>
      <c r="E525" s="11">
        <v>1.0369999999999999</v>
      </c>
    </row>
    <row r="526" spans="1:5" x14ac:dyDescent="0.25">
      <c r="A526" t="s">
        <v>908</v>
      </c>
      <c r="B526" s="1" t="str">
        <f>HYPERLINK("http://www.ncbi.nlm.nih.gov/pubmed/?term=Dennd1a", "Dennd1a")</f>
        <v>Dennd1a</v>
      </c>
      <c r="C526" s="20">
        <v>4.26</v>
      </c>
      <c r="D526" s="3">
        <v>2.694</v>
      </c>
      <c r="E526" s="11">
        <v>1.877</v>
      </c>
    </row>
    <row r="527" spans="1:5" x14ac:dyDescent="0.25">
      <c r="A527" t="s">
        <v>2003</v>
      </c>
      <c r="B527" s="1" t="str">
        <f>HYPERLINK("http://www.ncbi.nlm.nih.gov/pubmed/?term=Tbl1xr1", "Tbl1xr1")</f>
        <v>Tbl1xr1</v>
      </c>
      <c r="C527" s="20">
        <v>4.3890000000000002</v>
      </c>
      <c r="D527" s="22">
        <v>3.2709999999999999</v>
      </c>
      <c r="E527" s="22">
        <v>3.0049999999999999</v>
      </c>
    </row>
    <row r="528" spans="1:5" x14ac:dyDescent="0.25">
      <c r="A528" t="s">
        <v>1285</v>
      </c>
      <c r="B528" s="1" t="str">
        <f>HYPERLINK("http://www.ncbi.nlm.nih.gov/pubmed/?term=Taf7", "Taf7")</f>
        <v>Taf7</v>
      </c>
      <c r="C528" s="20">
        <v>4.2670000000000003</v>
      </c>
      <c r="D528" s="3">
        <v>2.1920000000000002</v>
      </c>
      <c r="E528" s="3">
        <v>2.782</v>
      </c>
    </row>
    <row r="529" spans="1:5" x14ac:dyDescent="0.25">
      <c r="A529" t="s">
        <v>1942</v>
      </c>
      <c r="B529" s="1" t="str">
        <f>HYPERLINK("http://www.ncbi.nlm.nih.gov/pubmed/?term=Decr1", "Decr1")</f>
        <v>Decr1</v>
      </c>
      <c r="C529" s="20">
        <v>4.3490000000000002</v>
      </c>
      <c r="D529" s="22">
        <v>3.15</v>
      </c>
      <c r="E529" s="3">
        <v>2.4540000000000002</v>
      </c>
    </row>
    <row r="530" spans="1:5" x14ac:dyDescent="0.25">
      <c r="A530" t="s">
        <v>2060</v>
      </c>
      <c r="B530" s="1" t="str">
        <f>HYPERLINK("http://www.ncbi.nlm.nih.gov/pubmed/?term=Slc38a4", "Slc38a4")</f>
        <v>Slc38a4</v>
      </c>
      <c r="C530" s="20">
        <v>4.4029999999999996</v>
      </c>
      <c r="D530" s="22">
        <v>3.395</v>
      </c>
      <c r="E530" s="11">
        <v>1.337</v>
      </c>
    </row>
    <row r="531" spans="1:5" x14ac:dyDescent="0.25">
      <c r="A531" t="s">
        <v>1034</v>
      </c>
      <c r="B531" s="1" t="str">
        <f>HYPERLINK("http://www.ncbi.nlm.nih.gov/pubmed/?term=Mut", "Mut")</f>
        <v>Mut</v>
      </c>
      <c r="C531" s="20">
        <v>4.2699999999999996</v>
      </c>
      <c r="D531" s="3">
        <v>2.7080000000000002</v>
      </c>
      <c r="E531" s="3">
        <v>2.843</v>
      </c>
    </row>
    <row r="532" spans="1:5" x14ac:dyDescent="0.25">
      <c r="A532" t="s">
        <v>1771</v>
      </c>
      <c r="B532" s="1" t="str">
        <f>HYPERLINK("http://www.ncbi.nlm.nih.gov/pubmed/?term=Ccdc136", "Ccdc136")</f>
        <v>Ccdc136</v>
      </c>
      <c r="C532" s="22">
        <v>3.976</v>
      </c>
      <c r="D532" s="11">
        <v>1.585</v>
      </c>
      <c r="E532" s="12">
        <v>-0.67110000000000003</v>
      </c>
    </row>
    <row r="533" spans="1:5" x14ac:dyDescent="0.25">
      <c r="A533" t="s">
        <v>1340</v>
      </c>
      <c r="B533" s="1" t="str">
        <f>HYPERLINK("http://www.ncbi.nlm.nih.gov/pubmed/?term=Acot1", "Acot1")</f>
        <v>Acot1</v>
      </c>
      <c r="C533" s="20">
        <v>4.1550000000000002</v>
      </c>
      <c r="D533" s="3">
        <v>2.3650000000000002</v>
      </c>
      <c r="E533" s="12">
        <v>0.5343</v>
      </c>
    </row>
    <row r="534" spans="1:5" x14ac:dyDescent="0.25">
      <c r="A534" t="s">
        <v>1037</v>
      </c>
      <c r="B534" s="1" t="str">
        <f>HYPERLINK("http://www.ncbi.nlm.nih.gov/pubmed/?term=Glrb", "Glrb")</f>
        <v>Glrb</v>
      </c>
      <c r="C534" s="22">
        <v>3.605</v>
      </c>
      <c r="D534" s="12">
        <v>-0.51739999999999997</v>
      </c>
      <c r="E534" s="12">
        <v>-1.698</v>
      </c>
    </row>
    <row r="535" spans="1:5" x14ac:dyDescent="0.25">
      <c r="A535" t="s">
        <v>364</v>
      </c>
      <c r="B535" s="1" t="str">
        <f>HYPERLINK("http://www.ncbi.nlm.nih.gov/pubmed/?term=F2r", "F2r")</f>
        <v>F2r</v>
      </c>
      <c r="C535" s="20">
        <v>4.2910000000000004</v>
      </c>
      <c r="D535" s="3">
        <v>2.972</v>
      </c>
      <c r="E535" s="11">
        <v>1.03</v>
      </c>
    </row>
    <row r="536" spans="1:5" x14ac:dyDescent="0.25">
      <c r="A536" t="s">
        <v>376</v>
      </c>
      <c r="B536" s="1" t="str">
        <f>HYPERLINK("http://www.ncbi.nlm.nih.gov/pubmed/?term=Pcsk6", "Pcsk6")</f>
        <v>Pcsk6</v>
      </c>
      <c r="C536" s="22">
        <v>3.923</v>
      </c>
      <c r="D536" s="11">
        <v>1.403</v>
      </c>
      <c r="E536" s="12">
        <v>-0.32329999999999998</v>
      </c>
    </row>
    <row r="537" spans="1:5" x14ac:dyDescent="0.25">
      <c r="A537" t="s">
        <v>1436</v>
      </c>
      <c r="B537" s="1" t="str">
        <f>HYPERLINK("http://www.ncbi.nlm.nih.gov/pubmed/?term=Bcl11a", "Bcl11a")</f>
        <v>Bcl11a</v>
      </c>
      <c r="C537" s="20">
        <v>4.2210000000000001</v>
      </c>
      <c r="D537" s="3">
        <v>2.7029999999999998</v>
      </c>
      <c r="E537" s="12">
        <v>0.55730000000000002</v>
      </c>
    </row>
    <row r="538" spans="1:5" x14ac:dyDescent="0.25">
      <c r="A538" t="s">
        <v>1578</v>
      </c>
      <c r="B538" s="1" t="str">
        <f>HYPERLINK("http://www.ncbi.nlm.nih.gov/pubmed/?term=Slc4a4", "Slc4a4")</f>
        <v>Slc4a4</v>
      </c>
      <c r="C538" s="22">
        <v>3.6909999999999998</v>
      </c>
      <c r="D538" s="12">
        <v>-2.997E-2</v>
      </c>
      <c r="E538" s="12">
        <v>0.432</v>
      </c>
    </row>
    <row r="539" spans="1:5" x14ac:dyDescent="0.25">
      <c r="A539" t="s">
        <v>1883</v>
      </c>
      <c r="B539" s="1" t="str">
        <f>HYPERLINK("http://www.ncbi.nlm.nih.gov/pubmed/?term=Prkab2", "Prkab2")</f>
        <v>Prkab2</v>
      </c>
      <c r="C539" s="20">
        <v>4.0460000000000003</v>
      </c>
      <c r="D539" s="11">
        <v>1.992</v>
      </c>
      <c r="E539" s="12">
        <v>0.97629999999999995</v>
      </c>
    </row>
    <row r="540" spans="1:5" x14ac:dyDescent="0.25">
      <c r="A540" t="s">
        <v>2031</v>
      </c>
      <c r="B540" s="1" t="str">
        <f>HYPERLINK("http://www.ncbi.nlm.nih.gov/pubmed/?term=Rab11fip5", "Rab11fip5")</f>
        <v>Rab11fip5</v>
      </c>
      <c r="C540" s="20">
        <v>4.16</v>
      </c>
      <c r="D540" s="3">
        <v>2.532</v>
      </c>
      <c r="E540" s="11">
        <v>1.0369999999999999</v>
      </c>
    </row>
    <row r="541" spans="1:5" x14ac:dyDescent="0.25">
      <c r="A541" t="s">
        <v>1171</v>
      </c>
      <c r="B541" s="1" t="str">
        <f>HYPERLINK("http://www.ncbi.nlm.nih.gov/pubmed/?term=Fam3c", "Fam3c")</f>
        <v>Fam3c</v>
      </c>
      <c r="C541" s="20">
        <v>4.3330000000000002</v>
      </c>
      <c r="D541" s="22">
        <v>3.3029999999999999</v>
      </c>
      <c r="E541" s="3">
        <v>2.335</v>
      </c>
    </row>
    <row r="542" spans="1:5" x14ac:dyDescent="0.25">
      <c r="A542" t="s">
        <v>1828</v>
      </c>
      <c r="B542" s="1" t="str">
        <f>HYPERLINK("http://www.ncbi.nlm.nih.gov/pubmed/?term=Adamts2", "Adamts2")</f>
        <v>Adamts2</v>
      </c>
      <c r="C542" s="22">
        <v>3.944</v>
      </c>
      <c r="D542" s="12">
        <v>0.49509999999999998</v>
      </c>
      <c r="E542" s="11">
        <v>1.6279999999999999</v>
      </c>
    </row>
    <row r="543" spans="1:5" x14ac:dyDescent="0.25">
      <c r="A543" t="s">
        <v>730</v>
      </c>
      <c r="B543" s="1" t="str">
        <f>HYPERLINK("http://www.ncbi.nlm.nih.gov/pubmed/?term=Galnt10", "Galnt10")</f>
        <v>Galnt10</v>
      </c>
      <c r="C543" s="20">
        <v>4.274</v>
      </c>
      <c r="D543" s="11">
        <v>1.982</v>
      </c>
      <c r="E543" s="22">
        <v>3.056</v>
      </c>
    </row>
    <row r="544" spans="1:5" x14ac:dyDescent="0.25">
      <c r="A544" t="s">
        <v>404</v>
      </c>
      <c r="B544" s="1" t="str">
        <f>HYPERLINK("http://www.ncbi.nlm.nih.gov/pubmed/?term=1110028C15Rik", "1110028C15Rik")</f>
        <v>1110028C15Rik</v>
      </c>
      <c r="C544" s="20">
        <v>4.2619999999999996</v>
      </c>
      <c r="D544" s="22">
        <v>3.01</v>
      </c>
      <c r="E544" s="11">
        <v>1.629</v>
      </c>
    </row>
    <row r="545" spans="1:5" x14ac:dyDescent="0.25">
      <c r="A545" t="s">
        <v>1542</v>
      </c>
      <c r="B545" s="1" t="str">
        <f>HYPERLINK("http://www.ncbi.nlm.nih.gov/pubmed/?term=Tns1", "Tns1")</f>
        <v>Tns1</v>
      </c>
      <c r="C545" s="22">
        <v>3.8380000000000001</v>
      </c>
      <c r="D545" s="11">
        <v>1.1859999999999999</v>
      </c>
      <c r="E545" s="12">
        <v>-5.3429999999999998E-2</v>
      </c>
    </row>
    <row r="546" spans="1:5" x14ac:dyDescent="0.25">
      <c r="A546" t="s">
        <v>839</v>
      </c>
      <c r="B546" s="1" t="str">
        <f>HYPERLINK("http://www.ncbi.nlm.nih.gov/pubmed/?term=Palm3", "Palm3")</f>
        <v>Palm3</v>
      </c>
      <c r="C546" s="22">
        <v>3.5449999999999999</v>
      </c>
      <c r="D546" s="12">
        <v>-2.8730000000000002</v>
      </c>
      <c r="E546" s="12">
        <v>-0.63780000000000003</v>
      </c>
    </row>
    <row r="547" spans="1:5" x14ac:dyDescent="0.25">
      <c r="A547" t="s">
        <v>1477</v>
      </c>
      <c r="B547" s="1" t="str">
        <f>HYPERLINK("http://www.ncbi.nlm.nih.gov/pubmed/?term=Bai1", "Bai1")</f>
        <v>Bai1</v>
      </c>
      <c r="C547" s="20">
        <v>4.01</v>
      </c>
      <c r="D547" s="11">
        <v>1.895</v>
      </c>
      <c r="E547" s="3">
        <v>2.0329999999999999</v>
      </c>
    </row>
    <row r="548" spans="1:5" x14ac:dyDescent="0.25">
      <c r="A548" t="s">
        <v>585</v>
      </c>
      <c r="B548" s="1" t="str">
        <f>HYPERLINK("http://www.ncbi.nlm.nih.gov/pubmed/?term=Nlgn1", "Nlgn1")</f>
        <v>Nlgn1</v>
      </c>
      <c r="C548" s="22">
        <v>3.8730000000000002</v>
      </c>
      <c r="D548" s="11">
        <v>1.4510000000000001</v>
      </c>
      <c r="E548" s="12">
        <v>0.76049999999999995</v>
      </c>
    </row>
    <row r="549" spans="1:5" x14ac:dyDescent="0.25">
      <c r="A549" t="s">
        <v>580</v>
      </c>
      <c r="B549" s="1" t="str">
        <f>HYPERLINK("http://www.ncbi.nlm.nih.gov/pubmed/?term=Epb4.1l5", "Epb4.1l5")</f>
        <v>Epb4.1l5</v>
      </c>
      <c r="C549" s="20">
        <v>4.2240000000000002</v>
      </c>
      <c r="D549" s="3">
        <v>2.323</v>
      </c>
      <c r="E549" s="3">
        <v>2.97</v>
      </c>
    </row>
    <row r="550" spans="1:5" x14ac:dyDescent="0.25">
      <c r="A550" t="s">
        <v>466</v>
      </c>
      <c r="B550" s="1" t="str">
        <f>HYPERLINK("http://www.ncbi.nlm.nih.gov/pubmed/?term=Dcbld2", "Dcbld2")</f>
        <v>Dcbld2</v>
      </c>
      <c r="C550" s="22">
        <v>3.8460000000000001</v>
      </c>
      <c r="D550" s="11">
        <v>1.3460000000000001</v>
      </c>
      <c r="E550" s="11">
        <v>1.1579999999999999</v>
      </c>
    </row>
    <row r="551" spans="1:5" x14ac:dyDescent="0.25">
      <c r="A551" t="s">
        <v>967</v>
      </c>
      <c r="B551" s="1" t="str">
        <f>HYPERLINK("http://www.ncbi.nlm.nih.gov/pubmed/?term=Rab33b", "Rab33b")</f>
        <v>Rab33b</v>
      </c>
      <c r="C551" s="20">
        <v>4.0709999999999997</v>
      </c>
      <c r="D551" s="3">
        <v>2.327</v>
      </c>
      <c r="E551" s="3">
        <v>2.0390000000000001</v>
      </c>
    </row>
    <row r="552" spans="1:5" x14ac:dyDescent="0.25">
      <c r="A552" t="s">
        <v>471</v>
      </c>
      <c r="B552" s="1" t="str">
        <f>HYPERLINK("http://www.ncbi.nlm.nih.gov/pubmed/?term=Fam57a", "Fam57a")</f>
        <v>Fam57a</v>
      </c>
      <c r="C552" s="20">
        <v>4.29</v>
      </c>
      <c r="D552" s="22">
        <v>3.2719999999999998</v>
      </c>
      <c r="E552" s="3">
        <v>2.6960000000000002</v>
      </c>
    </row>
    <row r="553" spans="1:5" x14ac:dyDescent="0.25">
      <c r="A553" t="s">
        <v>86</v>
      </c>
      <c r="B553" s="1" t="str">
        <f>HYPERLINK("http://www.ncbi.nlm.nih.gov/pubmed/?term=Arvcf", "Arvcf")</f>
        <v>Arvcf</v>
      </c>
      <c r="C553" s="20">
        <v>4.1580000000000004</v>
      </c>
      <c r="D553" s="3">
        <v>2.7090000000000001</v>
      </c>
      <c r="E553" s="11">
        <v>1.8109999999999999</v>
      </c>
    </row>
    <row r="554" spans="1:5" x14ac:dyDescent="0.25">
      <c r="A554" t="s">
        <v>1297</v>
      </c>
      <c r="B554" s="1" t="str">
        <f>HYPERLINK("http://www.ncbi.nlm.nih.gov/pubmed/?term=Cpox", "Cpox")</f>
        <v>Cpox</v>
      </c>
      <c r="C554" s="20">
        <v>4.2839999999999998</v>
      </c>
      <c r="D554" s="22">
        <v>3.2570000000000001</v>
      </c>
      <c r="E554" s="3">
        <v>2.9849999999999999</v>
      </c>
    </row>
    <row r="555" spans="1:5" x14ac:dyDescent="0.25">
      <c r="A555" t="s">
        <v>1209</v>
      </c>
      <c r="B555" s="1" t="str">
        <f>HYPERLINK("http://www.ncbi.nlm.nih.gov/pubmed/?term=Mob1b", "Mob1b")</f>
        <v>Mob1b</v>
      </c>
      <c r="C555" s="20">
        <v>4.26</v>
      </c>
      <c r="D555" s="22">
        <v>3.1589999999999998</v>
      </c>
      <c r="E555" s="3">
        <v>2.923</v>
      </c>
    </row>
    <row r="556" spans="1:5" x14ac:dyDescent="0.25">
      <c r="A556" t="s">
        <v>759</v>
      </c>
      <c r="B556" s="1" t="str">
        <f>HYPERLINK("http://www.ncbi.nlm.nih.gov/pubmed/?term=Mdga1", "Mdga1")</f>
        <v>Mdga1</v>
      </c>
      <c r="C556" s="20">
        <v>4.1139999999999999</v>
      </c>
      <c r="D556" s="3">
        <v>2.5390000000000001</v>
      </c>
      <c r="E556" s="12">
        <v>0.9577</v>
      </c>
    </row>
    <row r="557" spans="1:5" x14ac:dyDescent="0.25">
      <c r="A557" t="s">
        <v>1607</v>
      </c>
      <c r="B557" s="1" t="str">
        <f>HYPERLINK("http://www.ncbi.nlm.nih.gov/pubmed/?term=Nrip1", "Nrip1")</f>
        <v>Nrip1</v>
      </c>
      <c r="C557" s="20">
        <v>4.0650000000000004</v>
      </c>
      <c r="D557" s="3">
        <v>2.3410000000000002</v>
      </c>
      <c r="E557" s="11">
        <v>1.931</v>
      </c>
    </row>
    <row r="558" spans="1:5" x14ac:dyDescent="0.25">
      <c r="A558" t="s">
        <v>1521</v>
      </c>
      <c r="B558" s="1" t="str">
        <f>HYPERLINK("http://www.ncbi.nlm.nih.gov/pubmed/?term=Tmtc3", "Tmtc3")</f>
        <v>Tmtc3</v>
      </c>
      <c r="C558" s="20">
        <v>4.2320000000000002</v>
      </c>
      <c r="D558" s="22">
        <v>3.0739999999999998</v>
      </c>
      <c r="E558" s="3">
        <v>2.3980000000000001</v>
      </c>
    </row>
    <row r="559" spans="1:5" x14ac:dyDescent="0.25">
      <c r="A559" t="s">
        <v>827</v>
      </c>
      <c r="B559" s="1" t="str">
        <f>HYPERLINK("http://www.ncbi.nlm.nih.gov/pubmed/?term=Trim21", "Trim21")</f>
        <v>Trim21</v>
      </c>
      <c r="C559" s="20">
        <v>4.2709999999999999</v>
      </c>
      <c r="D559" s="22">
        <v>3.246</v>
      </c>
      <c r="E559" s="3">
        <v>2.0680000000000001</v>
      </c>
    </row>
    <row r="560" spans="1:5" x14ac:dyDescent="0.25">
      <c r="A560" t="s">
        <v>1597</v>
      </c>
      <c r="B560" s="1" t="str">
        <f>HYPERLINK("http://www.ncbi.nlm.nih.gov/pubmed/?term=Cdk7", "Cdk7")</f>
        <v>Cdk7</v>
      </c>
      <c r="C560" s="20">
        <v>4.2169999999999996</v>
      </c>
      <c r="D560" s="22">
        <v>3.0259999999999998</v>
      </c>
      <c r="E560" s="3">
        <v>2.5750000000000002</v>
      </c>
    </row>
    <row r="561" spans="1:5" x14ac:dyDescent="0.25">
      <c r="A561" t="s">
        <v>1564</v>
      </c>
      <c r="B561" s="1" t="str">
        <f>HYPERLINK("http://www.ncbi.nlm.nih.gov/pubmed/?term=Odz4", "Odz4")</f>
        <v>Odz4</v>
      </c>
      <c r="C561" s="20">
        <v>4.1159999999999997</v>
      </c>
      <c r="D561" s="3">
        <v>2.589</v>
      </c>
      <c r="E561" s="12">
        <v>0.24210000000000001</v>
      </c>
    </row>
    <row r="562" spans="1:5" x14ac:dyDescent="0.25">
      <c r="A562" t="s">
        <v>994</v>
      </c>
      <c r="B562" s="1" t="str">
        <f>HYPERLINK("http://www.ncbi.nlm.nih.gov/pubmed/?term=Hook3", "Hook3")</f>
        <v>Hook3</v>
      </c>
      <c r="C562" s="20">
        <v>4.21</v>
      </c>
      <c r="D562" s="22">
        <v>3.0249999999999999</v>
      </c>
      <c r="E562" s="3">
        <v>2.8889999999999998</v>
      </c>
    </row>
    <row r="563" spans="1:5" x14ac:dyDescent="0.25">
      <c r="A563" t="s">
        <v>608</v>
      </c>
      <c r="B563" s="1" t="str">
        <f>HYPERLINK("http://www.ncbi.nlm.nih.gov/pubmed/?term=Dhrs11", "Dhrs11")</f>
        <v>Dhrs11</v>
      </c>
      <c r="C563" s="20">
        <v>4.0730000000000004</v>
      </c>
      <c r="D563" s="3">
        <v>2.2389999999999999</v>
      </c>
      <c r="E563" s="3">
        <v>2.444</v>
      </c>
    </row>
    <row r="564" spans="1:5" x14ac:dyDescent="0.25">
      <c r="A564" t="s">
        <v>1838</v>
      </c>
      <c r="B564" s="1" t="str">
        <f>HYPERLINK("http://www.ncbi.nlm.nih.gov/pubmed/?term=Fhl1", "Fhl1")</f>
        <v>Fhl1</v>
      </c>
      <c r="C564" s="22">
        <v>3.91</v>
      </c>
      <c r="D564" s="11">
        <v>1.74</v>
      </c>
      <c r="E564" s="12">
        <v>-0.16289999999999999</v>
      </c>
    </row>
    <row r="565" spans="1:5" x14ac:dyDescent="0.25">
      <c r="A565" t="s">
        <v>1321</v>
      </c>
      <c r="B565" s="1" t="str">
        <f>HYPERLINK("http://www.ncbi.nlm.nih.gov/pubmed/?term=Bex2", "Bex2")</f>
        <v>Bex2</v>
      </c>
      <c r="C565" s="20">
        <v>4.1559999999999997</v>
      </c>
      <c r="D565" s="3">
        <v>2.2240000000000002</v>
      </c>
      <c r="E565" s="3">
        <v>2.8079999999999998</v>
      </c>
    </row>
    <row r="566" spans="1:5" x14ac:dyDescent="0.25">
      <c r="A566" t="s">
        <v>1881</v>
      </c>
      <c r="B566" s="1" t="str">
        <f>HYPERLINK("http://www.ncbi.nlm.nih.gov/pubmed/?term=Stk3", "Stk3")</f>
        <v>Stk3</v>
      </c>
      <c r="C566" s="20">
        <v>4.18</v>
      </c>
      <c r="D566" s="3">
        <v>2.96</v>
      </c>
      <c r="E566" s="3">
        <v>2.302</v>
      </c>
    </row>
    <row r="567" spans="1:5" x14ac:dyDescent="0.25">
      <c r="A567" t="s">
        <v>1059</v>
      </c>
      <c r="B567" s="1" t="str">
        <f>HYPERLINK("http://www.ncbi.nlm.nih.gov/pubmed/?term=Osbpl6", "Osbpl6")</f>
        <v>Osbpl6</v>
      </c>
      <c r="C567" s="20">
        <v>4.24</v>
      </c>
      <c r="D567" s="22">
        <v>3.218</v>
      </c>
      <c r="E567" s="11">
        <v>1.024</v>
      </c>
    </row>
    <row r="568" spans="1:5" x14ac:dyDescent="0.25">
      <c r="A568" t="s">
        <v>915</v>
      </c>
      <c r="B568" s="1" t="str">
        <f>HYPERLINK("http://www.ncbi.nlm.nih.gov/pubmed/?term=Dusp14", "Dusp14")</f>
        <v>Dusp14</v>
      </c>
      <c r="C568" s="20">
        <v>4.1689999999999996</v>
      </c>
      <c r="D568" s="3">
        <v>2.8260000000000001</v>
      </c>
      <c r="E568" s="3">
        <v>2.915</v>
      </c>
    </row>
    <row r="569" spans="1:5" x14ac:dyDescent="0.25">
      <c r="A569" t="s">
        <v>1195</v>
      </c>
      <c r="B569" s="1" t="str">
        <f>HYPERLINK("http://www.ncbi.nlm.nih.gov/pubmed/?term=Gnpda1", "Gnpda1")</f>
        <v>Gnpda1</v>
      </c>
      <c r="C569" s="20">
        <v>4.0759999999999996</v>
      </c>
      <c r="D569" s="3">
        <v>2.5299999999999998</v>
      </c>
      <c r="E569" s="3">
        <v>2.4340000000000002</v>
      </c>
    </row>
    <row r="570" spans="1:5" x14ac:dyDescent="0.25">
      <c r="A570" t="s">
        <v>576</v>
      </c>
      <c r="B570" s="1" t="str">
        <f>HYPERLINK("http://www.ncbi.nlm.nih.gov/pubmed/?term=Raph1", "Raph1")</f>
        <v>Raph1</v>
      </c>
      <c r="C570" s="20">
        <v>4.2229999999999999</v>
      </c>
      <c r="D570" s="22">
        <v>3.1859999999999999</v>
      </c>
      <c r="E570" s="3">
        <v>2.7440000000000002</v>
      </c>
    </row>
    <row r="571" spans="1:5" x14ac:dyDescent="0.25">
      <c r="A571" t="s">
        <v>385</v>
      </c>
      <c r="B571" s="1" t="str">
        <f>HYPERLINK("http://www.ncbi.nlm.nih.gov/pubmed/?term=Dbt", "Dbt")</f>
        <v>Dbt</v>
      </c>
      <c r="C571" s="20">
        <v>4.09</v>
      </c>
      <c r="D571" s="3">
        <v>2.6179999999999999</v>
      </c>
      <c r="E571" s="3">
        <v>2.492</v>
      </c>
    </row>
    <row r="572" spans="1:5" x14ac:dyDescent="0.25">
      <c r="A572" t="s">
        <v>661</v>
      </c>
      <c r="B572" s="1" t="str">
        <f>HYPERLINK("http://www.ncbi.nlm.nih.gov/pubmed/?term=Stam", "Stam")</f>
        <v>Stam</v>
      </c>
      <c r="C572" s="20">
        <v>4.1790000000000003</v>
      </c>
      <c r="D572" s="22">
        <v>3.0070000000000001</v>
      </c>
      <c r="E572" s="3">
        <v>2.6019999999999999</v>
      </c>
    </row>
    <row r="573" spans="1:5" x14ac:dyDescent="0.25">
      <c r="A573" t="s">
        <v>675</v>
      </c>
      <c r="B573" s="1" t="str">
        <f>HYPERLINK("http://www.ncbi.nlm.nih.gov/pubmed/?term=1700019N12Rik", "1700019N12Rik")</f>
        <v>1700019N12Rik</v>
      </c>
      <c r="C573" s="22">
        <v>3.64</v>
      </c>
      <c r="D573" s="12">
        <v>0.69079999999999997</v>
      </c>
      <c r="E573" s="12">
        <v>-2.0760000000000001</v>
      </c>
    </row>
    <row r="574" spans="1:5" x14ac:dyDescent="0.25">
      <c r="A574" t="s">
        <v>1710</v>
      </c>
      <c r="B574" s="1" t="str">
        <f>HYPERLINK("http://www.ncbi.nlm.nih.gov/pubmed/?term=Abi2", "Abi2")</f>
        <v>Abi2</v>
      </c>
      <c r="C574" s="20">
        <v>4.1589999999999998</v>
      </c>
      <c r="D574" s="3">
        <v>2.9319999999999999</v>
      </c>
      <c r="E574" s="3">
        <v>2.4969999999999999</v>
      </c>
    </row>
    <row r="575" spans="1:5" x14ac:dyDescent="0.25">
      <c r="A575" t="s">
        <v>1417</v>
      </c>
      <c r="B575" s="1" t="str">
        <f>HYPERLINK("http://www.ncbi.nlm.nih.gov/pubmed/?term=2610301B20Rik", "2610301B20Rik")</f>
        <v>2610301B20Rik</v>
      </c>
      <c r="C575" s="20">
        <v>4.1559999999999997</v>
      </c>
      <c r="D575" s="3">
        <v>2.9380000000000002</v>
      </c>
      <c r="E575" s="3">
        <v>2.3860000000000001</v>
      </c>
    </row>
    <row r="576" spans="1:5" x14ac:dyDescent="0.25">
      <c r="A576" t="s">
        <v>1346</v>
      </c>
      <c r="B576" s="1" t="str">
        <f>HYPERLINK("http://www.ncbi.nlm.nih.gov/pubmed/?term=Fkbp10", "Fkbp10")</f>
        <v>Fkbp10</v>
      </c>
      <c r="C576" s="20">
        <v>4.2089999999999996</v>
      </c>
      <c r="D576" s="22">
        <v>3.1890000000000001</v>
      </c>
      <c r="E576" s="12">
        <v>-1.0249999999999999</v>
      </c>
    </row>
    <row r="577" spans="1:5" x14ac:dyDescent="0.25">
      <c r="A577" t="s">
        <v>398</v>
      </c>
      <c r="B577" s="1" t="str">
        <f>HYPERLINK("http://www.ncbi.nlm.nih.gov/pubmed/?term=Tsen15", "Tsen15")</f>
        <v>Tsen15</v>
      </c>
      <c r="C577" s="20">
        <v>4.0999999999999996</v>
      </c>
      <c r="D577" s="3">
        <v>2.7320000000000002</v>
      </c>
      <c r="E577" s="3">
        <v>2.448</v>
      </c>
    </row>
    <row r="578" spans="1:5" x14ac:dyDescent="0.25">
      <c r="A578" t="s">
        <v>1116</v>
      </c>
      <c r="B578" s="1" t="str">
        <f>HYPERLINK("http://www.ncbi.nlm.nih.gov/pubmed/?term=Cys1", "Cys1")</f>
        <v>Cys1</v>
      </c>
      <c r="C578" s="22">
        <v>3.4660000000000002</v>
      </c>
      <c r="D578" s="12">
        <v>-2.907</v>
      </c>
      <c r="E578" s="12">
        <v>-3.988</v>
      </c>
    </row>
    <row r="579" spans="1:5" x14ac:dyDescent="0.25">
      <c r="A579" t="s">
        <v>71</v>
      </c>
      <c r="B579" s="1" t="str">
        <f>HYPERLINK("http://www.ncbi.nlm.nih.gov/pubmed/?term=Atg16l2", "Atg16l2")</f>
        <v>Atg16l2</v>
      </c>
      <c r="C579" s="22">
        <v>3.9969999999999999</v>
      </c>
      <c r="D579" s="3">
        <v>2.3170000000000002</v>
      </c>
      <c r="E579" s="3">
        <v>2.2069999999999999</v>
      </c>
    </row>
    <row r="580" spans="1:5" x14ac:dyDescent="0.25">
      <c r="A580" t="s">
        <v>1906</v>
      </c>
      <c r="B580" s="1" t="str">
        <f>HYPERLINK("http://www.ncbi.nlm.nih.gov/pubmed/?term=Nr2f1", "Nr2f1")</f>
        <v>Nr2f1</v>
      </c>
      <c r="C580" s="22">
        <v>3.5950000000000002</v>
      </c>
      <c r="D580" s="12">
        <v>0.58260000000000001</v>
      </c>
      <c r="E580" s="12">
        <v>-1.573</v>
      </c>
    </row>
    <row r="581" spans="1:5" x14ac:dyDescent="0.25">
      <c r="A581" t="s">
        <v>917</v>
      </c>
      <c r="B581" s="1" t="str">
        <f>HYPERLINK("http://www.ncbi.nlm.nih.gov/pubmed/?term=Smc6", "Smc6")</f>
        <v>Smc6</v>
      </c>
      <c r="C581" s="20">
        <v>4.1689999999999996</v>
      </c>
      <c r="D581" s="3">
        <v>2.7679999999999998</v>
      </c>
      <c r="E581" s="22">
        <v>3.0659999999999998</v>
      </c>
    </row>
    <row r="582" spans="1:5" x14ac:dyDescent="0.25">
      <c r="A582" t="s">
        <v>1301</v>
      </c>
      <c r="B582" s="1" t="str">
        <f>HYPERLINK("http://www.ncbi.nlm.nih.gov/pubmed/?term=D5Ertd579e", "D5Ertd579e")</f>
        <v>D5Ertd579e</v>
      </c>
      <c r="C582" s="20">
        <v>4.1920000000000002</v>
      </c>
      <c r="D582" s="22">
        <v>3.173</v>
      </c>
      <c r="E582" s="3">
        <v>2.8450000000000002</v>
      </c>
    </row>
    <row r="583" spans="1:5" x14ac:dyDescent="0.25">
      <c r="A583" t="s">
        <v>1996</v>
      </c>
      <c r="B583" s="1" t="str">
        <f>HYPERLINK("http://www.ncbi.nlm.nih.gov/pubmed/?term=Fam19a5", "Fam19a5")</f>
        <v>Fam19a5</v>
      </c>
      <c r="C583" s="22">
        <v>3.8290000000000002</v>
      </c>
      <c r="D583" s="11">
        <v>1.6080000000000001</v>
      </c>
      <c r="E583" s="11">
        <v>1.2190000000000001</v>
      </c>
    </row>
    <row r="584" spans="1:5" x14ac:dyDescent="0.25">
      <c r="A584" t="s">
        <v>1774</v>
      </c>
      <c r="B584" s="1" t="str">
        <f>HYPERLINK("http://www.ncbi.nlm.nih.gov/pubmed/?term=Zfp319", "Zfp319")</f>
        <v>Zfp319</v>
      </c>
      <c r="C584" s="20">
        <v>4.0330000000000004</v>
      </c>
      <c r="D584" s="3">
        <v>2.5049999999999999</v>
      </c>
      <c r="E584" s="3">
        <v>2.2360000000000002</v>
      </c>
    </row>
    <row r="585" spans="1:5" x14ac:dyDescent="0.25">
      <c r="A585" t="s">
        <v>1197</v>
      </c>
      <c r="B585" s="1" t="str">
        <f>HYPERLINK("http://www.ncbi.nlm.nih.gov/pubmed/?term=Dnajb4", "Dnajb4")</f>
        <v>Dnajb4</v>
      </c>
      <c r="C585" s="20">
        <v>4.1349999999999998</v>
      </c>
      <c r="D585" s="3">
        <v>2.95</v>
      </c>
      <c r="E585" s="3">
        <v>2.0270000000000001</v>
      </c>
    </row>
    <row r="586" spans="1:5" x14ac:dyDescent="0.25">
      <c r="A586" t="s">
        <v>2022</v>
      </c>
      <c r="B586" s="1" t="str">
        <f>HYPERLINK("http://www.ncbi.nlm.nih.gov/pubmed/?term=AI597468", "AI597468")</f>
        <v>AI597468</v>
      </c>
      <c r="C586" s="20">
        <v>4.1079999999999997</v>
      </c>
      <c r="D586" s="3">
        <v>2.835</v>
      </c>
      <c r="E586" s="3">
        <v>2.0249999999999999</v>
      </c>
    </row>
    <row r="587" spans="1:5" x14ac:dyDescent="0.25">
      <c r="A587" t="s">
        <v>2009</v>
      </c>
      <c r="B587" s="1" t="str">
        <f>HYPERLINK("http://www.ncbi.nlm.nih.gov/pubmed/?term=AW549877", "AW549877")</f>
        <v>AW549877</v>
      </c>
      <c r="C587" s="20">
        <v>4.17</v>
      </c>
      <c r="D587" s="22">
        <v>3.1219999999999999</v>
      </c>
      <c r="E587" s="3">
        <v>2.4580000000000002</v>
      </c>
    </row>
    <row r="588" spans="1:5" x14ac:dyDescent="0.25">
      <c r="A588" t="s">
        <v>1013</v>
      </c>
      <c r="B588" s="1" t="str">
        <f>HYPERLINK("http://www.ncbi.nlm.nih.gov/pubmed/?term=Zfp516", "Zfp516")</f>
        <v>Zfp516</v>
      </c>
      <c r="C588" s="20">
        <v>4.0739999999999998</v>
      </c>
      <c r="D588" s="3">
        <v>2.7160000000000002</v>
      </c>
      <c r="E588" s="3">
        <v>2.714</v>
      </c>
    </row>
    <row r="589" spans="1:5" x14ac:dyDescent="0.25">
      <c r="A589" t="s">
        <v>1770</v>
      </c>
      <c r="B589" s="1" t="str">
        <f>HYPERLINK("http://www.ncbi.nlm.nih.gov/pubmed/?term=Nav1", "Nav1")</f>
        <v>Nav1</v>
      </c>
      <c r="C589" s="22">
        <v>3.9340000000000002</v>
      </c>
      <c r="D589" s="3">
        <v>2.1280000000000001</v>
      </c>
      <c r="E589" s="12">
        <v>0.7147</v>
      </c>
    </row>
    <row r="590" spans="1:5" x14ac:dyDescent="0.25">
      <c r="A590" t="s">
        <v>226</v>
      </c>
      <c r="B590" s="1" t="str">
        <f>HYPERLINK("http://www.ncbi.nlm.nih.gov/pubmed/?term=Prmt3", "Prmt3")</f>
        <v>Prmt3</v>
      </c>
      <c r="C590" s="20">
        <v>4.1120000000000001</v>
      </c>
      <c r="D590" s="3">
        <v>2.9009999999999998</v>
      </c>
      <c r="E590" s="3">
        <v>2.629</v>
      </c>
    </row>
    <row r="591" spans="1:5" x14ac:dyDescent="0.25">
      <c r="A591" t="s">
        <v>1876</v>
      </c>
      <c r="B591" s="1" t="str">
        <f>HYPERLINK("http://www.ncbi.nlm.nih.gov/pubmed/?term=Atmin", "Atmin")</f>
        <v>Atmin</v>
      </c>
      <c r="C591" s="20">
        <v>4.0979999999999999</v>
      </c>
      <c r="D591" s="3">
        <v>2.847</v>
      </c>
      <c r="E591" s="3">
        <v>2.7189999999999999</v>
      </c>
    </row>
    <row r="592" spans="1:5" x14ac:dyDescent="0.25">
      <c r="A592" t="s">
        <v>346</v>
      </c>
      <c r="B592" s="1" t="str">
        <f>HYPERLINK("http://www.ncbi.nlm.nih.gov/pubmed/?term=Actr5", "Actr5")</f>
        <v>Actr5</v>
      </c>
      <c r="C592" s="22">
        <v>3.9830000000000001</v>
      </c>
      <c r="D592" s="3">
        <v>2.0880000000000001</v>
      </c>
      <c r="E592" s="3">
        <v>2.3570000000000002</v>
      </c>
    </row>
    <row r="593" spans="1:5" x14ac:dyDescent="0.25">
      <c r="A593" t="s">
        <v>1966</v>
      </c>
      <c r="B593" s="1" t="str">
        <f>HYPERLINK("http://www.ncbi.nlm.nih.gov/pubmed/?term=2310039H08Rik", "2310039H08Rik")</f>
        <v>2310039H08Rik</v>
      </c>
      <c r="C593" s="20">
        <v>4.0519999999999996</v>
      </c>
      <c r="D593" s="3">
        <v>2.6629999999999998</v>
      </c>
      <c r="E593" s="3">
        <v>2.149</v>
      </c>
    </row>
    <row r="594" spans="1:5" x14ac:dyDescent="0.25">
      <c r="A594" t="s">
        <v>1653</v>
      </c>
      <c r="B594" s="1" t="str">
        <f>HYPERLINK("http://www.ncbi.nlm.nih.gov/pubmed/?term=Zfp503", "Zfp503")</f>
        <v>Zfp503</v>
      </c>
      <c r="C594" s="20">
        <v>4.0019999999999998</v>
      </c>
      <c r="D594" s="3">
        <v>2.4660000000000002</v>
      </c>
      <c r="E594" s="12">
        <v>0.35949999999999999</v>
      </c>
    </row>
    <row r="595" spans="1:5" x14ac:dyDescent="0.25">
      <c r="A595" t="s">
        <v>125</v>
      </c>
      <c r="B595" s="1" t="str">
        <f>HYPERLINK("http://www.ncbi.nlm.nih.gov/pubmed/?term=Gucy1a2", "Gucy1a2")</f>
        <v>Gucy1a2</v>
      </c>
      <c r="C595" s="22">
        <v>3.55</v>
      </c>
      <c r="D595" s="12">
        <v>0.51980000000000004</v>
      </c>
      <c r="E595" s="12">
        <v>-0.80700000000000005</v>
      </c>
    </row>
    <row r="596" spans="1:5" x14ac:dyDescent="0.25">
      <c r="A596" t="s">
        <v>1135</v>
      </c>
      <c r="B596" s="1" t="str">
        <f>HYPERLINK("http://www.ncbi.nlm.nih.gov/pubmed/?term=Nt5dc2", "Nt5dc2")</f>
        <v>Nt5dc2</v>
      </c>
      <c r="C596" s="22">
        <v>3.8410000000000002</v>
      </c>
      <c r="D596" s="11">
        <v>1.4550000000000001</v>
      </c>
      <c r="E596" s="11">
        <v>1.8009999999999999</v>
      </c>
    </row>
    <row r="597" spans="1:5" x14ac:dyDescent="0.25">
      <c r="A597" t="s">
        <v>1692</v>
      </c>
      <c r="B597" s="1" t="str">
        <f>HYPERLINK("http://www.ncbi.nlm.nih.gov/pubmed/?term=Camk2g", "Camk2g")</f>
        <v>Camk2g</v>
      </c>
      <c r="C597" s="20">
        <v>4.1420000000000003</v>
      </c>
      <c r="D597" s="22">
        <v>3.1230000000000002</v>
      </c>
      <c r="E597" s="3">
        <v>2.609</v>
      </c>
    </row>
    <row r="598" spans="1:5" x14ac:dyDescent="0.25">
      <c r="A598" t="s">
        <v>1711</v>
      </c>
      <c r="B598" s="1" t="str">
        <f>HYPERLINK("http://www.ncbi.nlm.nih.gov/pubmed/?term=Ubfd1", "Ubfd1")</f>
        <v>Ubfd1</v>
      </c>
      <c r="C598" s="20">
        <v>4.1219999999999999</v>
      </c>
      <c r="D598" s="3">
        <v>2.851</v>
      </c>
      <c r="E598" s="22">
        <v>3.0710000000000002</v>
      </c>
    </row>
    <row r="599" spans="1:5" x14ac:dyDescent="0.25">
      <c r="A599" t="s">
        <v>1006</v>
      </c>
      <c r="B599" s="1" t="str">
        <f>HYPERLINK("http://www.ncbi.nlm.nih.gov/pubmed/?term=Gm17334", "Gm17334")</f>
        <v>Gm17334</v>
      </c>
      <c r="C599" s="22">
        <v>3.698</v>
      </c>
      <c r="D599" s="11">
        <v>1.2450000000000001</v>
      </c>
      <c r="E599" s="12">
        <v>0.93079999999999996</v>
      </c>
    </row>
    <row r="600" spans="1:5" x14ac:dyDescent="0.25">
      <c r="A600" t="s">
        <v>139</v>
      </c>
      <c r="B600" s="1" t="str">
        <f>HYPERLINK("http://www.ncbi.nlm.nih.gov/pubmed/?term=Kctd9", "Kctd9")</f>
        <v>Kctd9</v>
      </c>
      <c r="C600" s="20">
        <v>4.0999999999999996</v>
      </c>
      <c r="D600" s="3">
        <v>2.718</v>
      </c>
      <c r="E600" s="22">
        <v>3.032</v>
      </c>
    </row>
    <row r="601" spans="1:5" x14ac:dyDescent="0.25">
      <c r="A601" t="s">
        <v>1329</v>
      </c>
      <c r="B601" s="1" t="str">
        <f>HYPERLINK("http://www.ncbi.nlm.nih.gov/pubmed/?term=Sfxn2", "Sfxn2")</f>
        <v>Sfxn2</v>
      </c>
      <c r="C601" s="22">
        <v>3.8540000000000001</v>
      </c>
      <c r="D601" s="11">
        <v>1.976</v>
      </c>
      <c r="E601" s="11">
        <v>1.081</v>
      </c>
    </row>
    <row r="602" spans="1:5" x14ac:dyDescent="0.25">
      <c r="A602" t="s">
        <v>814</v>
      </c>
      <c r="B602" s="1" t="str">
        <f>HYPERLINK("http://www.ncbi.nlm.nih.gov/pubmed/?term=Klhl20", "Klhl20")</f>
        <v>Klhl20</v>
      </c>
      <c r="C602" s="22">
        <v>3.9750000000000001</v>
      </c>
      <c r="D602" s="3">
        <v>2.52</v>
      </c>
      <c r="E602" s="3">
        <v>2.1640000000000001</v>
      </c>
    </row>
    <row r="603" spans="1:5" x14ac:dyDescent="0.25">
      <c r="A603" t="s">
        <v>2024</v>
      </c>
      <c r="B603" s="1" t="str">
        <f>HYPERLINK("http://www.ncbi.nlm.nih.gov/pubmed/?term=Tnfrsf19", "Tnfrsf19")</f>
        <v>Tnfrsf19</v>
      </c>
      <c r="C603" s="22">
        <v>3.4329999999999998</v>
      </c>
      <c r="D603" s="12">
        <v>0.18340000000000001</v>
      </c>
      <c r="E603" s="12">
        <v>0.183</v>
      </c>
    </row>
    <row r="604" spans="1:5" x14ac:dyDescent="0.25">
      <c r="A604" t="s">
        <v>1669</v>
      </c>
      <c r="B604" s="1" t="str">
        <f>HYPERLINK("http://www.ncbi.nlm.nih.gov/pubmed/?term=Lipa", "Lipa")</f>
        <v>Lipa</v>
      </c>
      <c r="C604" s="22">
        <v>3.8580000000000001</v>
      </c>
      <c r="D604" s="3">
        <v>2.0779999999999998</v>
      </c>
      <c r="E604" s="11">
        <v>1.649</v>
      </c>
    </row>
    <row r="605" spans="1:5" x14ac:dyDescent="0.25">
      <c r="A605" t="s">
        <v>1519</v>
      </c>
      <c r="B605" s="1" t="str">
        <f>HYPERLINK("http://www.ncbi.nlm.nih.gov/pubmed/?term=Pcbp3", "Pcbp3")</f>
        <v>Pcbp3</v>
      </c>
      <c r="C605" s="22">
        <v>3.8140000000000001</v>
      </c>
      <c r="D605" s="11">
        <v>1.839</v>
      </c>
      <c r="E605" s="11">
        <v>1.9610000000000001</v>
      </c>
    </row>
    <row r="606" spans="1:5" x14ac:dyDescent="0.25">
      <c r="A606" t="s">
        <v>542</v>
      </c>
      <c r="B606" s="1" t="str">
        <f>HYPERLINK("http://www.ncbi.nlm.nih.gov/pubmed/?term=Sfxn5", "Sfxn5")</f>
        <v>Sfxn5</v>
      </c>
      <c r="C606" s="22">
        <v>3.4750000000000001</v>
      </c>
      <c r="D606" s="12">
        <v>0.49790000000000001</v>
      </c>
      <c r="E606" s="12">
        <v>3.2410000000000001E-2</v>
      </c>
    </row>
    <row r="607" spans="1:5" x14ac:dyDescent="0.25">
      <c r="A607" t="s">
        <v>590</v>
      </c>
      <c r="B607" s="1" t="str">
        <f>HYPERLINK("http://www.ncbi.nlm.nih.gov/pubmed/?term=Gm12216", "Gm12216")</f>
        <v>Gm12216</v>
      </c>
      <c r="C607" s="22">
        <v>3.887</v>
      </c>
      <c r="D607" s="11">
        <v>1.5409999999999999</v>
      </c>
      <c r="E607" s="3">
        <v>2.3029999999999999</v>
      </c>
    </row>
    <row r="608" spans="1:5" x14ac:dyDescent="0.25">
      <c r="A608" t="s">
        <v>970</v>
      </c>
      <c r="B608" s="1" t="str">
        <f>HYPERLINK("http://www.ncbi.nlm.nih.gov/pubmed/?term=Gprc5a", "Gprc5a")</f>
        <v>Gprc5a</v>
      </c>
      <c r="C608" s="22">
        <v>3.49</v>
      </c>
      <c r="D608" s="12">
        <v>0.58440000000000003</v>
      </c>
      <c r="E608" s="12">
        <v>-1.073</v>
      </c>
    </row>
    <row r="609" spans="1:5" x14ac:dyDescent="0.25">
      <c r="A609" t="s">
        <v>286</v>
      </c>
      <c r="B609" s="1" t="str">
        <f>HYPERLINK("http://www.ncbi.nlm.nih.gov/pubmed/?term=Dnajc17", "Dnajc17")</f>
        <v>Dnajc17</v>
      </c>
      <c r="C609" s="20">
        <v>4.03</v>
      </c>
      <c r="D609" s="3">
        <v>2.9249999999999998</v>
      </c>
      <c r="E609" s="3">
        <v>2.5569999999999999</v>
      </c>
    </row>
    <row r="610" spans="1:5" x14ac:dyDescent="0.25">
      <c r="A610" t="s">
        <v>1453</v>
      </c>
      <c r="B610" s="1" t="str">
        <f>HYPERLINK("http://www.ncbi.nlm.nih.gov/pubmed/?term=Col4a5", "Col4a5")</f>
        <v>Col4a5</v>
      </c>
      <c r="C610" s="22">
        <v>3.528</v>
      </c>
      <c r="D610" s="12">
        <v>0.76790000000000003</v>
      </c>
      <c r="E610" s="12">
        <v>-0.55920000000000003</v>
      </c>
    </row>
    <row r="611" spans="1:5" x14ac:dyDescent="0.25">
      <c r="A611" t="s">
        <v>1549</v>
      </c>
      <c r="B611" s="1" t="str">
        <f>HYPERLINK("http://www.ncbi.nlm.nih.gov/pubmed/?term=Mocos", "Mocos")</f>
        <v>Mocos</v>
      </c>
      <c r="C611" s="22">
        <v>3.8740000000000001</v>
      </c>
      <c r="D611" s="3">
        <v>2.3130000000000002</v>
      </c>
      <c r="E611" s="11">
        <v>1.6459999999999999</v>
      </c>
    </row>
    <row r="612" spans="1:5" x14ac:dyDescent="0.25">
      <c r="A612" t="s">
        <v>1308</v>
      </c>
      <c r="B612" s="1" t="str">
        <f>HYPERLINK("http://www.ncbi.nlm.nih.gov/pubmed/?term=Wdr67", "Wdr67")</f>
        <v>Wdr67</v>
      </c>
      <c r="C612" s="22">
        <v>3.8820000000000001</v>
      </c>
      <c r="D612" s="3">
        <v>2.36</v>
      </c>
      <c r="E612" s="11">
        <v>1.1180000000000001</v>
      </c>
    </row>
    <row r="613" spans="1:5" x14ac:dyDescent="0.25">
      <c r="A613" t="s">
        <v>1617</v>
      </c>
      <c r="B613" s="1" t="str">
        <f>HYPERLINK("http://www.ncbi.nlm.nih.gov/pubmed/?term=Ift74", "Ift74")</f>
        <v>Ift74</v>
      </c>
      <c r="C613" s="20">
        <v>4.0010000000000003</v>
      </c>
      <c r="D613" s="3">
        <v>2.8839999999999999</v>
      </c>
      <c r="E613" s="11">
        <v>1.921</v>
      </c>
    </row>
    <row r="614" spans="1:5" x14ac:dyDescent="0.25">
      <c r="A614" t="s">
        <v>14</v>
      </c>
      <c r="B614" s="1" t="str">
        <f>HYPERLINK("http://www.ncbi.nlm.nih.gov/pubmed/?term=Impdh1", "Impdh1")</f>
        <v>Impdh1</v>
      </c>
      <c r="C614" s="22">
        <v>3.7639999999999998</v>
      </c>
      <c r="D614" s="11">
        <v>1.863</v>
      </c>
      <c r="E614" s="11">
        <v>1.2370000000000001</v>
      </c>
    </row>
    <row r="615" spans="1:5" x14ac:dyDescent="0.25">
      <c r="A615" t="s">
        <v>1344</v>
      </c>
      <c r="B615" s="1" t="str">
        <f>HYPERLINK("http://www.ncbi.nlm.nih.gov/pubmed/?term=Gpr25", "Gpr25")</f>
        <v>Gpr25</v>
      </c>
      <c r="C615" s="22">
        <v>3.4449999999999998</v>
      </c>
      <c r="D615" s="12">
        <v>-2.1589999999999998</v>
      </c>
      <c r="E615" s="12">
        <v>0.48459999999999998</v>
      </c>
    </row>
    <row r="616" spans="1:5" x14ac:dyDescent="0.25">
      <c r="A616" t="s">
        <v>246</v>
      </c>
      <c r="B616" s="1" t="str">
        <f>HYPERLINK("http://www.ncbi.nlm.nih.gov/pubmed/?term=Ccdc90a", "Ccdc90a")</f>
        <v>Ccdc90a</v>
      </c>
      <c r="C616" s="22">
        <v>3.9420000000000002</v>
      </c>
      <c r="D616" s="3">
        <v>2.64</v>
      </c>
      <c r="E616" s="3">
        <v>2.573</v>
      </c>
    </row>
    <row r="617" spans="1:5" x14ac:dyDescent="0.25">
      <c r="A617" t="s">
        <v>1003</v>
      </c>
      <c r="B617" s="1" t="str">
        <f>HYPERLINK("http://www.ncbi.nlm.nih.gov/pubmed/?term=Pgam2", "Pgam2")</f>
        <v>Pgam2</v>
      </c>
      <c r="C617" s="22">
        <v>3.653</v>
      </c>
      <c r="D617" s="11">
        <v>1.4139999999999999</v>
      </c>
      <c r="E617" s="11">
        <v>1.19</v>
      </c>
    </row>
    <row r="618" spans="1:5" x14ac:dyDescent="0.25">
      <c r="A618" t="s">
        <v>1707</v>
      </c>
      <c r="B618" s="1" t="str">
        <f>HYPERLINK("http://www.ncbi.nlm.nih.gov/pubmed/?term=Rab43", "Rab43")</f>
        <v>Rab43</v>
      </c>
      <c r="C618" s="22">
        <v>3.964</v>
      </c>
      <c r="D618" s="3">
        <v>2.7629999999999999</v>
      </c>
      <c r="E618" s="3">
        <v>2.1429999999999998</v>
      </c>
    </row>
    <row r="619" spans="1:5" x14ac:dyDescent="0.25">
      <c r="A619" t="s">
        <v>411</v>
      </c>
      <c r="B619" s="1" t="str">
        <f>HYPERLINK("http://www.ncbi.nlm.nih.gov/pubmed/?term=Fam136a", "Fam136a")</f>
        <v>Fam136a</v>
      </c>
      <c r="C619" s="22">
        <v>3.9980000000000002</v>
      </c>
      <c r="D619" s="3">
        <v>2.9239999999999999</v>
      </c>
      <c r="E619" s="3">
        <v>2.7280000000000002</v>
      </c>
    </row>
    <row r="620" spans="1:5" x14ac:dyDescent="0.25">
      <c r="A620" t="s">
        <v>655</v>
      </c>
      <c r="B620" s="1" t="str">
        <f>HYPERLINK("http://www.ncbi.nlm.nih.gov/pubmed/?term=Rfxap", "Rfxap")</f>
        <v>Rfxap</v>
      </c>
      <c r="C620" s="22">
        <v>3.9689999999999999</v>
      </c>
      <c r="D620" s="3">
        <v>2.8450000000000002</v>
      </c>
      <c r="E620" s="11">
        <v>1.974</v>
      </c>
    </row>
    <row r="621" spans="1:5" x14ac:dyDescent="0.25">
      <c r="A621" t="s">
        <v>329</v>
      </c>
      <c r="B621" s="1" t="str">
        <f>HYPERLINK("http://www.ncbi.nlm.nih.gov/pubmed/?term=Ttc39c", "Ttc39c")</f>
        <v>Ttc39c</v>
      </c>
      <c r="C621" s="22">
        <v>3.9289999999999998</v>
      </c>
      <c r="D621" s="3">
        <v>2.6949999999999998</v>
      </c>
      <c r="E621" s="11">
        <v>1.7929999999999999</v>
      </c>
    </row>
    <row r="622" spans="1:5" x14ac:dyDescent="0.25">
      <c r="A622" t="s">
        <v>281</v>
      </c>
      <c r="B622" s="1" t="str">
        <f>HYPERLINK("http://www.ncbi.nlm.nih.gov/pubmed/?term=E030010A14Rik", "E030010A14Rik")</f>
        <v>E030010A14Rik</v>
      </c>
      <c r="C622" s="22">
        <v>3.742</v>
      </c>
      <c r="D622" s="11">
        <v>1.9</v>
      </c>
      <c r="E622" s="12">
        <v>-0.44750000000000001</v>
      </c>
    </row>
    <row r="623" spans="1:5" x14ac:dyDescent="0.25">
      <c r="A623" t="s">
        <v>1931</v>
      </c>
      <c r="B623" s="1" t="str">
        <f>HYPERLINK("http://www.ncbi.nlm.nih.gov/pubmed/?term=Lbr", "Lbr")</f>
        <v>Lbr</v>
      </c>
      <c r="C623" s="22">
        <v>3.9820000000000002</v>
      </c>
      <c r="D623" s="3">
        <v>2.9569999999999999</v>
      </c>
      <c r="E623" s="3">
        <v>2.4670000000000001</v>
      </c>
    </row>
    <row r="624" spans="1:5" x14ac:dyDescent="0.25">
      <c r="A624" t="s">
        <v>110</v>
      </c>
      <c r="B624" s="1" t="str">
        <f>HYPERLINK("http://www.ncbi.nlm.nih.gov/pubmed/?term=Cpeb1", "Cpeb1")</f>
        <v>Cpeb1</v>
      </c>
      <c r="C624" s="22">
        <v>3.7759999999999998</v>
      </c>
      <c r="D624" s="12">
        <v>0.42059999999999997</v>
      </c>
      <c r="E624" s="3">
        <v>2.0670000000000002</v>
      </c>
    </row>
    <row r="625" spans="1:5" x14ac:dyDescent="0.25">
      <c r="A625" t="s">
        <v>921</v>
      </c>
      <c r="B625" s="1" t="str">
        <f>HYPERLINK("http://www.ncbi.nlm.nih.gov/pubmed/?term=Cd34", "Cd34")</f>
        <v>Cd34</v>
      </c>
      <c r="C625" s="22">
        <v>3.5569999999999999</v>
      </c>
      <c r="D625" s="11">
        <v>1.1379999999999999</v>
      </c>
      <c r="E625" s="12">
        <v>-1.472</v>
      </c>
    </row>
    <row r="626" spans="1:5" x14ac:dyDescent="0.25">
      <c r="A626" t="s">
        <v>652</v>
      </c>
      <c r="B626" s="1" t="str">
        <f>HYPERLINK("http://www.ncbi.nlm.nih.gov/pubmed/?term=Zscan12", "Zscan12")</f>
        <v>Zscan12</v>
      </c>
      <c r="C626" s="22">
        <v>3.77</v>
      </c>
      <c r="D626" s="3">
        <v>2.0750000000000002</v>
      </c>
      <c r="E626" s="11">
        <v>1.613</v>
      </c>
    </row>
    <row r="627" spans="1:5" x14ac:dyDescent="0.25">
      <c r="A627" t="s">
        <v>1875</v>
      </c>
      <c r="B627" s="1" t="str">
        <f>HYPERLINK("http://www.ncbi.nlm.nih.gov/pubmed/?term=AK129341", "AK129341")</f>
        <v>AK129341</v>
      </c>
      <c r="C627" s="22">
        <v>3.6059999999999999</v>
      </c>
      <c r="D627" s="11">
        <v>1.3240000000000001</v>
      </c>
      <c r="E627" s="11">
        <v>1.375</v>
      </c>
    </row>
    <row r="628" spans="1:5" x14ac:dyDescent="0.25">
      <c r="A628" t="s">
        <v>982</v>
      </c>
      <c r="B628" s="1" t="str">
        <f>HYPERLINK("http://www.ncbi.nlm.nih.gov/pubmed/?term=Zbtb38", "Zbtb38")</f>
        <v>Zbtb38</v>
      </c>
      <c r="C628" s="22">
        <v>3.9750000000000001</v>
      </c>
      <c r="D628" s="3">
        <v>2.839</v>
      </c>
      <c r="E628" s="3">
        <v>2.9740000000000002</v>
      </c>
    </row>
    <row r="629" spans="1:5" x14ac:dyDescent="0.25">
      <c r="A629" t="s">
        <v>1043</v>
      </c>
      <c r="B629" s="1" t="str">
        <f>HYPERLINK("http://www.ncbi.nlm.nih.gov/pubmed/?term=Wdr35", "Wdr35")</f>
        <v>Wdr35</v>
      </c>
      <c r="C629" s="22">
        <v>3.9220000000000002</v>
      </c>
      <c r="D629" s="3">
        <v>2.75</v>
      </c>
      <c r="E629" s="11">
        <v>1.966</v>
      </c>
    </row>
    <row r="630" spans="1:5" x14ac:dyDescent="0.25">
      <c r="A630" t="s">
        <v>1255</v>
      </c>
      <c r="B630" s="1" t="str">
        <f>HYPERLINK("http://www.ncbi.nlm.nih.gov/pubmed/?term=Mnd1", "Mnd1")</f>
        <v>Mnd1</v>
      </c>
      <c r="C630" s="22">
        <v>3.605</v>
      </c>
      <c r="D630" s="11">
        <v>1.4750000000000001</v>
      </c>
      <c r="E630" s="11">
        <v>1.222</v>
      </c>
    </row>
    <row r="631" spans="1:5" x14ac:dyDescent="0.25">
      <c r="A631" t="s">
        <v>1952</v>
      </c>
      <c r="B631" s="1" t="str">
        <f>HYPERLINK("http://www.ncbi.nlm.nih.gov/pubmed/?term=Dact1", "Dact1")</f>
        <v>Dact1</v>
      </c>
      <c r="C631" s="22">
        <v>3.653</v>
      </c>
      <c r="D631" s="11">
        <v>1.488</v>
      </c>
      <c r="E631" s="11">
        <v>1.696</v>
      </c>
    </row>
    <row r="632" spans="1:5" x14ac:dyDescent="0.25">
      <c r="A632" t="s">
        <v>1913</v>
      </c>
      <c r="B632" s="1" t="str">
        <f>HYPERLINK("http://www.ncbi.nlm.nih.gov/pubmed/?term=Mpped2", "Mpped2")</f>
        <v>Mpped2</v>
      </c>
      <c r="C632" s="22">
        <v>3.8730000000000002</v>
      </c>
      <c r="D632" s="3">
        <v>2.6579999999999999</v>
      </c>
      <c r="E632" s="12">
        <v>-0.5252</v>
      </c>
    </row>
    <row r="633" spans="1:5" x14ac:dyDescent="0.25">
      <c r="A633" t="s">
        <v>773</v>
      </c>
      <c r="B633" s="1" t="str">
        <f>HYPERLINK("http://www.ncbi.nlm.nih.gov/pubmed/?term=Zfp608", "Zfp608")</f>
        <v>Zfp608</v>
      </c>
      <c r="C633" s="22">
        <v>3.8</v>
      </c>
      <c r="D633" s="3">
        <v>2.3490000000000002</v>
      </c>
      <c r="E633" s="12">
        <v>-0.5181</v>
      </c>
    </row>
    <row r="634" spans="1:5" x14ac:dyDescent="0.25">
      <c r="A634" t="s">
        <v>640</v>
      </c>
      <c r="B634" s="1" t="str">
        <f>HYPERLINK("http://www.ncbi.nlm.nih.gov/pubmed/?term=Ankrd24", "Ankrd24")</f>
        <v>Ankrd24</v>
      </c>
      <c r="C634" s="22">
        <v>3.891</v>
      </c>
      <c r="D634" s="3">
        <v>2.7429999999999999</v>
      </c>
      <c r="E634" s="3">
        <v>2.609</v>
      </c>
    </row>
    <row r="635" spans="1:5" x14ac:dyDescent="0.25">
      <c r="A635" t="s">
        <v>1499</v>
      </c>
      <c r="B635" s="1" t="str">
        <f>HYPERLINK("http://www.ncbi.nlm.nih.gov/pubmed/?term=Mcc", "Mcc")</f>
        <v>Mcc</v>
      </c>
      <c r="C635" s="22">
        <v>3.8879999999999999</v>
      </c>
      <c r="D635" s="3">
        <v>2.73</v>
      </c>
      <c r="E635" s="11">
        <v>1.631</v>
      </c>
    </row>
    <row r="636" spans="1:5" x14ac:dyDescent="0.25">
      <c r="A636" t="s">
        <v>1588</v>
      </c>
      <c r="B636" s="1" t="str">
        <f>HYPERLINK("http://www.ncbi.nlm.nih.gov/pubmed/?term=Chrna9", "Chrna9")</f>
        <v>Chrna9</v>
      </c>
      <c r="C636" s="22">
        <v>3.6819999999999999</v>
      </c>
      <c r="D636" s="12">
        <v>-9.4289999999999999E-2</v>
      </c>
      <c r="E636" s="11">
        <v>1.845</v>
      </c>
    </row>
    <row r="637" spans="1:5" x14ac:dyDescent="0.25">
      <c r="A637" t="s">
        <v>1485</v>
      </c>
      <c r="B637" s="1" t="str">
        <f>HYPERLINK("http://www.ncbi.nlm.nih.gov/pubmed/?term=B3galnt1", "B3galnt1")</f>
        <v>B3galnt1</v>
      </c>
      <c r="C637" s="22">
        <v>3.9249999999999998</v>
      </c>
      <c r="D637" s="3">
        <v>2.8980000000000001</v>
      </c>
      <c r="E637" s="11">
        <v>1.6</v>
      </c>
    </row>
    <row r="638" spans="1:5" x14ac:dyDescent="0.25">
      <c r="A638" t="s">
        <v>1649</v>
      </c>
      <c r="B638" s="1" t="str">
        <f>HYPERLINK("http://www.ncbi.nlm.nih.gov/pubmed/?term=Ccnjl", "Ccnjl")</f>
        <v>Ccnjl</v>
      </c>
      <c r="C638" s="22">
        <v>3.726</v>
      </c>
      <c r="D638" s="3">
        <v>2.0459999999999998</v>
      </c>
      <c r="E638" s="11">
        <v>1.4630000000000001</v>
      </c>
    </row>
    <row r="639" spans="1:5" x14ac:dyDescent="0.25">
      <c r="A639" t="s">
        <v>723</v>
      </c>
      <c r="B639" s="1" t="str">
        <f>HYPERLINK("http://www.ncbi.nlm.nih.gov/pubmed/?term=Cdca7", "Cdca7")</f>
        <v>Cdca7</v>
      </c>
      <c r="C639" s="22">
        <v>3.7440000000000002</v>
      </c>
      <c r="D639" s="3">
        <v>2.1560000000000001</v>
      </c>
      <c r="E639" s="11">
        <v>1.339</v>
      </c>
    </row>
    <row r="640" spans="1:5" x14ac:dyDescent="0.25">
      <c r="A640" t="s">
        <v>1392</v>
      </c>
      <c r="B640" s="1" t="str">
        <f>HYPERLINK("http://www.ncbi.nlm.nih.gov/pubmed/?term=Neu2", "Neu2")</f>
        <v>Neu2</v>
      </c>
      <c r="C640" s="22">
        <v>3.79</v>
      </c>
      <c r="D640" s="12">
        <v>-1.2430000000000001</v>
      </c>
      <c r="E640" s="3">
        <v>2.3570000000000002</v>
      </c>
    </row>
    <row r="641" spans="1:5" x14ac:dyDescent="0.25">
      <c r="A641" t="s">
        <v>610</v>
      </c>
      <c r="B641" s="1" t="str">
        <f>HYPERLINK("http://www.ncbi.nlm.nih.gov/pubmed/?term=Zbtb12", "Zbtb12")</f>
        <v>Zbtb12</v>
      </c>
      <c r="C641" s="22">
        <v>3.8889999999999998</v>
      </c>
      <c r="D641" s="3">
        <v>2.83</v>
      </c>
      <c r="E641" s="3">
        <v>2.633</v>
      </c>
    </row>
    <row r="642" spans="1:5" x14ac:dyDescent="0.25">
      <c r="A642" t="s">
        <v>732</v>
      </c>
      <c r="B642" s="1" t="str">
        <f>HYPERLINK("http://www.ncbi.nlm.nih.gov/pubmed/?term=Pus7", "Pus7")</f>
        <v>Pus7</v>
      </c>
      <c r="C642" s="22">
        <v>3.8940000000000001</v>
      </c>
      <c r="D642" s="3">
        <v>2.8580000000000001</v>
      </c>
      <c r="E642" s="3">
        <v>2.3919999999999999</v>
      </c>
    </row>
    <row r="643" spans="1:5" x14ac:dyDescent="0.25">
      <c r="A643" t="s">
        <v>795</v>
      </c>
      <c r="B643" s="1" t="str">
        <f>HYPERLINK("http://www.ncbi.nlm.nih.gov/pubmed/?term=Iqcb1", "Iqcb1")</f>
        <v>Iqcb1</v>
      </c>
      <c r="C643" s="22">
        <v>3.82</v>
      </c>
      <c r="D643" s="3">
        <v>2.544</v>
      </c>
      <c r="E643" s="3">
        <v>2.1850000000000001</v>
      </c>
    </row>
    <row r="644" spans="1:5" x14ac:dyDescent="0.25">
      <c r="A644" t="s">
        <v>1447</v>
      </c>
      <c r="B644" s="1" t="str">
        <f>HYPERLINK("http://www.ncbi.nlm.nih.gov/pubmed/?term=Lrch2", "Lrch2")</f>
        <v>Lrch2</v>
      </c>
      <c r="C644" s="22">
        <v>3.5049999999999999</v>
      </c>
      <c r="D644" s="11">
        <v>1.194</v>
      </c>
      <c r="E644" s="12">
        <v>-0.27400000000000002</v>
      </c>
    </row>
    <row r="645" spans="1:5" x14ac:dyDescent="0.25">
      <c r="A645" t="s">
        <v>1125</v>
      </c>
      <c r="B645" s="1" t="str">
        <f>HYPERLINK("http://www.ncbi.nlm.nih.gov/pubmed/?term=Pecr", "Pecr")</f>
        <v>Pecr</v>
      </c>
      <c r="C645" s="22">
        <v>3.74</v>
      </c>
      <c r="D645" s="3">
        <v>2.234</v>
      </c>
      <c r="E645" s="11">
        <v>1.351</v>
      </c>
    </row>
    <row r="646" spans="1:5" x14ac:dyDescent="0.25">
      <c r="A646" t="s">
        <v>1194</v>
      </c>
      <c r="B646" s="1" t="str">
        <f>HYPERLINK("http://www.ncbi.nlm.nih.gov/pubmed/?term=Uaca", "Uaca")</f>
        <v>Uaca</v>
      </c>
      <c r="C646" s="22">
        <v>3.7639999999999998</v>
      </c>
      <c r="D646" s="3">
        <v>2.3439999999999999</v>
      </c>
      <c r="E646" s="11">
        <v>1.448</v>
      </c>
    </row>
    <row r="647" spans="1:5" x14ac:dyDescent="0.25">
      <c r="A647" t="s">
        <v>1569</v>
      </c>
      <c r="B647" s="1" t="str">
        <f>HYPERLINK("http://www.ncbi.nlm.nih.gov/pubmed/?term=Epb4.9", "Epb4.9")</f>
        <v>Epb4.9</v>
      </c>
      <c r="C647" s="22">
        <v>3.6819999999999999</v>
      </c>
      <c r="D647" s="11">
        <v>1.0620000000000001</v>
      </c>
      <c r="E647" s="3">
        <v>2.0449999999999999</v>
      </c>
    </row>
    <row r="648" spans="1:5" x14ac:dyDescent="0.25">
      <c r="A648" t="s">
        <v>1753</v>
      </c>
      <c r="B648" s="1" t="str">
        <f>HYPERLINK("http://www.ncbi.nlm.nih.gov/pubmed/?term=Dck", "Dck")</f>
        <v>Dck</v>
      </c>
      <c r="C648" s="22">
        <v>3.7269999999999999</v>
      </c>
      <c r="D648" s="3">
        <v>2.25</v>
      </c>
      <c r="E648" s="11">
        <v>1.6559999999999999</v>
      </c>
    </row>
    <row r="649" spans="1:5" x14ac:dyDescent="0.25">
      <c r="A649" t="s">
        <v>1626</v>
      </c>
      <c r="B649" s="1" t="str">
        <f>HYPERLINK("http://www.ncbi.nlm.nih.gov/pubmed/?term=Thbd", "Thbd")</f>
        <v>Thbd</v>
      </c>
      <c r="C649" s="22">
        <v>3.6720000000000002</v>
      </c>
      <c r="D649" s="3">
        <v>2.0179999999999998</v>
      </c>
      <c r="E649" s="12">
        <v>-3.1619999999999999</v>
      </c>
    </row>
    <row r="650" spans="1:5" x14ac:dyDescent="0.25">
      <c r="A650" t="s">
        <v>1240</v>
      </c>
      <c r="B650" s="1" t="str">
        <f>HYPERLINK("http://www.ncbi.nlm.nih.gov/pubmed/?term=BC028528", "BC028528")</f>
        <v>BC028528</v>
      </c>
      <c r="C650" s="22">
        <v>3.62</v>
      </c>
      <c r="D650" s="11">
        <v>1.7989999999999999</v>
      </c>
      <c r="E650" s="11">
        <v>1.4970000000000001</v>
      </c>
    </row>
    <row r="651" spans="1:5" x14ac:dyDescent="0.25">
      <c r="A651" t="s">
        <v>1733</v>
      </c>
      <c r="B651" s="1" t="str">
        <f>HYPERLINK("http://www.ncbi.nlm.nih.gov/pubmed/?term=Rnmtl1", "Rnmtl1")</f>
        <v>Rnmtl1</v>
      </c>
      <c r="C651" s="22">
        <v>3.5739999999999998</v>
      </c>
      <c r="D651" s="11">
        <v>1.643</v>
      </c>
      <c r="E651" s="11">
        <v>1.1839999999999999</v>
      </c>
    </row>
    <row r="652" spans="1:5" x14ac:dyDescent="0.25">
      <c r="A652" t="s">
        <v>1460</v>
      </c>
      <c r="B652" s="1" t="str">
        <f>HYPERLINK("http://www.ncbi.nlm.nih.gov/pubmed/?term=Unc79", "Unc79")</f>
        <v>Unc79</v>
      </c>
      <c r="C652" s="22">
        <v>3.6269999999999998</v>
      </c>
      <c r="D652" s="11">
        <v>1.885</v>
      </c>
      <c r="E652" s="12">
        <v>-0.56220000000000003</v>
      </c>
    </row>
    <row r="653" spans="1:5" x14ac:dyDescent="0.25">
      <c r="A653" t="s">
        <v>1065</v>
      </c>
      <c r="B653" s="1" t="str">
        <f>HYPERLINK("http://www.ncbi.nlm.nih.gov/pubmed/?term=Bcl2", "Bcl2")</f>
        <v>Bcl2</v>
      </c>
      <c r="C653" s="22">
        <v>3.827</v>
      </c>
      <c r="D653" s="3">
        <v>2.8050000000000002</v>
      </c>
      <c r="E653" s="3">
        <v>2.2109999999999999</v>
      </c>
    </row>
    <row r="654" spans="1:5" x14ac:dyDescent="0.25">
      <c r="A654" t="s">
        <v>497</v>
      </c>
      <c r="B654" s="1" t="str">
        <f>HYPERLINK("http://www.ncbi.nlm.nih.gov/pubmed/?term=Nmnat3", "Nmnat3")</f>
        <v>Nmnat3</v>
      </c>
      <c r="C654" s="22">
        <v>3.5659999999999998</v>
      </c>
      <c r="D654" s="11">
        <v>1.679</v>
      </c>
      <c r="E654" s="12">
        <v>0.33360000000000001</v>
      </c>
    </row>
    <row r="655" spans="1:5" x14ac:dyDescent="0.25">
      <c r="A655" t="s">
        <v>563</v>
      </c>
      <c r="B655" s="1" t="str">
        <f>HYPERLINK("http://www.ncbi.nlm.nih.gov/pubmed/?term=Tmem53", "Tmem53")</f>
        <v>Tmem53</v>
      </c>
      <c r="C655" s="22">
        <v>3.8140000000000001</v>
      </c>
      <c r="D655" s="3">
        <v>2.7970000000000002</v>
      </c>
      <c r="E655" s="11">
        <v>1.0509999999999999</v>
      </c>
    </row>
    <row r="656" spans="1:5" x14ac:dyDescent="0.25">
      <c r="A656" t="s">
        <v>1983</v>
      </c>
      <c r="B656" s="1" t="str">
        <f>HYPERLINK("http://www.ncbi.nlm.nih.gov/pubmed/?term=Kcnn3", "Kcnn3")</f>
        <v>Kcnn3</v>
      </c>
      <c r="C656" s="22">
        <v>3.6859999999999999</v>
      </c>
      <c r="D656" s="3">
        <v>2.254</v>
      </c>
      <c r="E656" s="11">
        <v>1.405</v>
      </c>
    </row>
    <row r="657" spans="1:5" x14ac:dyDescent="0.25">
      <c r="A657" t="s">
        <v>408</v>
      </c>
      <c r="B657" s="1" t="str">
        <f>HYPERLINK("http://www.ncbi.nlm.nih.gov/pubmed/?term=Ptprc", "Ptprc")</f>
        <v>Ptprc</v>
      </c>
      <c r="C657" s="22">
        <v>3.6440000000000001</v>
      </c>
      <c r="D657" s="3">
        <v>2.0840000000000001</v>
      </c>
      <c r="E657" s="12">
        <v>-0.11409999999999999</v>
      </c>
    </row>
    <row r="658" spans="1:5" x14ac:dyDescent="0.25">
      <c r="A658" t="s">
        <v>45</v>
      </c>
      <c r="B658" s="1" t="str">
        <f>HYPERLINK("http://www.ncbi.nlm.nih.gov/pubmed/?term=Cep68", "Cep68")</f>
        <v>Cep68</v>
      </c>
      <c r="C658" s="22">
        <v>3.7850000000000001</v>
      </c>
      <c r="D658" s="3">
        <v>2.6920000000000002</v>
      </c>
      <c r="E658" s="3">
        <v>2.3140000000000001</v>
      </c>
    </row>
    <row r="659" spans="1:5" x14ac:dyDescent="0.25">
      <c r="A659" t="s">
        <v>943</v>
      </c>
      <c r="B659" s="1" t="str">
        <f>HYPERLINK("http://www.ncbi.nlm.nih.gov/pubmed/?term=Pter", "Pter")</f>
        <v>Pter</v>
      </c>
      <c r="C659" s="22">
        <v>3.5489999999999999</v>
      </c>
      <c r="D659" s="11">
        <v>1.6830000000000001</v>
      </c>
      <c r="E659" s="12">
        <v>0.58879999999999999</v>
      </c>
    </row>
    <row r="660" spans="1:5" x14ac:dyDescent="0.25">
      <c r="A660" t="s">
        <v>1517</v>
      </c>
      <c r="B660" s="1" t="str">
        <f>HYPERLINK("http://www.ncbi.nlm.nih.gov/pubmed/?term=Uhrf1bp1l", "Uhrf1bp1l")</f>
        <v>Uhrf1bp1l</v>
      </c>
      <c r="C660" s="22">
        <v>3.7410000000000001</v>
      </c>
      <c r="D660" s="3">
        <v>2.528</v>
      </c>
      <c r="E660" s="11">
        <v>1.573</v>
      </c>
    </row>
    <row r="661" spans="1:5" x14ac:dyDescent="0.25">
      <c r="A661" t="s">
        <v>888</v>
      </c>
      <c r="B661" s="1" t="str">
        <f>HYPERLINK("http://www.ncbi.nlm.nih.gov/pubmed/?term=Mob3c", "Mob3c")</f>
        <v>Mob3c</v>
      </c>
      <c r="C661" s="22">
        <v>3.6629999999999998</v>
      </c>
      <c r="D661" s="3">
        <v>2.0739999999999998</v>
      </c>
      <c r="E661" s="3">
        <v>2.2269999999999999</v>
      </c>
    </row>
    <row r="662" spans="1:5" x14ac:dyDescent="0.25">
      <c r="A662" t="s">
        <v>25</v>
      </c>
      <c r="B662" s="1" t="str">
        <f>HYPERLINK("http://www.ncbi.nlm.nih.gov/pubmed/?term=Zfp57", "Zfp57")</f>
        <v>Zfp57</v>
      </c>
      <c r="C662" s="22">
        <v>3.4119999999999999</v>
      </c>
      <c r="D662" s="11">
        <v>1.18</v>
      </c>
      <c r="E662" s="12">
        <v>-0.90539999999999998</v>
      </c>
    </row>
    <row r="663" spans="1:5" x14ac:dyDescent="0.25">
      <c r="A663" t="s">
        <v>757</v>
      </c>
      <c r="B663" s="1" t="str">
        <f>HYPERLINK("http://www.ncbi.nlm.nih.gov/pubmed/?term=Nudt19", "Nudt19")</f>
        <v>Nudt19</v>
      </c>
      <c r="C663" s="22">
        <v>3.7509999999999999</v>
      </c>
      <c r="D663" s="3">
        <v>2.66</v>
      </c>
      <c r="E663" s="3">
        <v>2.5270000000000001</v>
      </c>
    </row>
    <row r="664" spans="1:5" x14ac:dyDescent="0.25">
      <c r="A664" t="s">
        <v>1849</v>
      </c>
      <c r="B664" s="1" t="str">
        <f>HYPERLINK("http://www.ncbi.nlm.nih.gov/pubmed/?term=Snx21", "Snx21")</f>
        <v>Snx21</v>
      </c>
      <c r="C664" s="22">
        <v>3.7290000000000001</v>
      </c>
      <c r="D664" s="3">
        <v>2.585</v>
      </c>
      <c r="E664" s="11">
        <v>1.712</v>
      </c>
    </row>
    <row r="665" spans="1:5" x14ac:dyDescent="0.25">
      <c r="A665" t="s">
        <v>1631</v>
      </c>
      <c r="B665" s="1" t="str">
        <f>HYPERLINK("http://www.ncbi.nlm.nih.gov/pubmed/?term=Dzip3", "Dzip3")</f>
        <v>Dzip3</v>
      </c>
      <c r="C665" s="22">
        <v>3.7160000000000002</v>
      </c>
      <c r="D665" s="3">
        <v>2.5430000000000001</v>
      </c>
      <c r="E665" s="3">
        <v>2.0499999999999998</v>
      </c>
    </row>
    <row r="666" spans="1:5" x14ac:dyDescent="0.25">
      <c r="A666" t="s">
        <v>409</v>
      </c>
      <c r="B666" s="1" t="str">
        <f>HYPERLINK("http://www.ncbi.nlm.nih.gov/pubmed/?term=Fgf11", "Fgf11")</f>
        <v>Fgf11</v>
      </c>
      <c r="C666" s="22">
        <v>3.4340000000000002</v>
      </c>
      <c r="D666" s="11">
        <v>1.3480000000000001</v>
      </c>
      <c r="E666" s="12">
        <v>0.87639999999999996</v>
      </c>
    </row>
    <row r="667" spans="1:5" x14ac:dyDescent="0.25">
      <c r="A667" t="s">
        <v>693</v>
      </c>
      <c r="B667" s="1" t="str">
        <f>HYPERLINK("http://www.ncbi.nlm.nih.gov/pubmed/?term=Cd4", "Cd4")</f>
        <v>Cd4</v>
      </c>
      <c r="C667" s="22">
        <v>3.7050000000000001</v>
      </c>
      <c r="D667" s="12">
        <v>-8.745E-2</v>
      </c>
      <c r="E667" s="3">
        <v>2.52</v>
      </c>
    </row>
    <row r="668" spans="1:5" x14ac:dyDescent="0.25">
      <c r="A668" t="s">
        <v>1136</v>
      </c>
      <c r="B668" s="1" t="str">
        <f>HYPERLINK("http://www.ncbi.nlm.nih.gov/pubmed/?term=Pbx3", "Pbx3")</f>
        <v>Pbx3</v>
      </c>
      <c r="C668" s="22">
        <v>3.74</v>
      </c>
      <c r="D668" s="3">
        <v>2.6909999999999998</v>
      </c>
      <c r="E668" s="3">
        <v>2.1259999999999999</v>
      </c>
    </row>
    <row r="669" spans="1:5" x14ac:dyDescent="0.25">
      <c r="A669" t="s">
        <v>1439</v>
      </c>
      <c r="B669" s="1" t="str">
        <f>HYPERLINK("http://www.ncbi.nlm.nih.gov/pubmed/?term=Slc25a29", "Slc25a29")</f>
        <v>Slc25a29</v>
      </c>
      <c r="C669" s="22">
        <v>3.6520000000000001</v>
      </c>
      <c r="D669" s="3">
        <v>2.3420000000000001</v>
      </c>
      <c r="E669" s="11">
        <v>1.8839999999999999</v>
      </c>
    </row>
    <row r="670" spans="1:5" x14ac:dyDescent="0.25">
      <c r="A670" t="s">
        <v>1904</v>
      </c>
      <c r="B670" s="1" t="str">
        <f>HYPERLINK("http://www.ncbi.nlm.nih.gov/pubmed/?term=Edaradd", "Edaradd")</f>
        <v>Edaradd</v>
      </c>
      <c r="C670" s="22">
        <v>3.6480000000000001</v>
      </c>
      <c r="D670" s="3">
        <v>2.35</v>
      </c>
      <c r="E670" s="3">
        <v>2.35</v>
      </c>
    </row>
    <row r="671" spans="1:5" x14ac:dyDescent="0.25">
      <c r="A671" t="s">
        <v>426</v>
      </c>
      <c r="B671" s="1" t="str">
        <f>HYPERLINK("http://www.ncbi.nlm.nih.gov/pubmed/?term=1110020G09Rik", "1110020G09Rik")</f>
        <v>1110020G09Rik</v>
      </c>
      <c r="C671" s="22">
        <v>3.6019999999999999</v>
      </c>
      <c r="D671" s="3">
        <v>2.157</v>
      </c>
      <c r="E671" s="11">
        <v>1.538</v>
      </c>
    </row>
    <row r="672" spans="1:5" x14ac:dyDescent="0.25">
      <c r="A672" t="s">
        <v>49</v>
      </c>
      <c r="B672" s="1" t="str">
        <f>HYPERLINK("http://www.ncbi.nlm.nih.gov/pubmed/?term=Rrp15", "Rrp15")</f>
        <v>Rrp15</v>
      </c>
      <c r="C672" s="22">
        <v>3.718</v>
      </c>
      <c r="D672" s="3">
        <v>2.6880000000000002</v>
      </c>
      <c r="E672" s="3">
        <v>2.3069999999999999</v>
      </c>
    </row>
    <row r="673" spans="1:5" x14ac:dyDescent="0.25">
      <c r="A673" t="s">
        <v>1892</v>
      </c>
      <c r="B673" s="1" t="str">
        <f>HYPERLINK("http://www.ncbi.nlm.nih.gov/pubmed/?term=Tmem102", "Tmem102")</f>
        <v>Tmem102</v>
      </c>
      <c r="C673" s="22">
        <v>3.6739999999999999</v>
      </c>
      <c r="D673" s="3">
        <v>2.504</v>
      </c>
      <c r="E673" s="3">
        <v>2.448</v>
      </c>
    </row>
    <row r="674" spans="1:5" x14ac:dyDescent="0.25">
      <c r="A674" t="s">
        <v>293</v>
      </c>
      <c r="B674" s="1" t="str">
        <f>HYPERLINK("http://www.ncbi.nlm.nih.gov/pubmed/?term=Lysmd3", "Lysmd3")</f>
        <v>Lysmd3</v>
      </c>
      <c r="C674" s="22">
        <v>3.6120000000000001</v>
      </c>
      <c r="D674" s="11">
        <v>1.845</v>
      </c>
      <c r="E674" s="3">
        <v>2.242</v>
      </c>
    </row>
    <row r="675" spans="1:5" x14ac:dyDescent="0.25">
      <c r="A675" t="s">
        <v>1145</v>
      </c>
      <c r="B675" s="1" t="str">
        <f>HYPERLINK("http://www.ncbi.nlm.nih.gov/pubmed/?term=E2f6", "E2f6")</f>
        <v>E2f6</v>
      </c>
      <c r="C675" s="22">
        <v>3.7090000000000001</v>
      </c>
      <c r="D675" s="3">
        <v>2.6949999999999998</v>
      </c>
      <c r="E675" s="11">
        <v>1.107</v>
      </c>
    </row>
    <row r="676" spans="1:5" x14ac:dyDescent="0.25">
      <c r="A676" t="s">
        <v>1235</v>
      </c>
      <c r="B676" s="1" t="str">
        <f>HYPERLINK("http://www.ncbi.nlm.nih.gov/pubmed/?term=Hdgfrp3", "Hdgfrp3")</f>
        <v>Hdgfrp3</v>
      </c>
      <c r="C676" s="22">
        <v>3.706</v>
      </c>
      <c r="D676" s="3">
        <v>2.6859999999999999</v>
      </c>
      <c r="E676" s="11">
        <v>1.054</v>
      </c>
    </row>
    <row r="677" spans="1:5" x14ac:dyDescent="0.25">
      <c r="A677" t="s">
        <v>1310</v>
      </c>
      <c r="B677" s="1" t="str">
        <f>HYPERLINK("http://www.ncbi.nlm.nih.gov/pubmed/?term=Ddx3y", "Ddx3y")</f>
        <v>Ddx3y</v>
      </c>
      <c r="C677" s="22">
        <v>3.589</v>
      </c>
      <c r="D677" s="12">
        <v>-5.0990000000000002</v>
      </c>
      <c r="E677" s="3">
        <v>2.1840000000000002</v>
      </c>
    </row>
    <row r="678" spans="1:5" x14ac:dyDescent="0.25">
      <c r="A678" t="s">
        <v>919</v>
      </c>
      <c r="B678" s="1" t="str">
        <f>HYPERLINK("http://www.ncbi.nlm.nih.gov/pubmed/?term=Hs1bp3", "Hs1bp3")</f>
        <v>Hs1bp3</v>
      </c>
      <c r="C678" s="22">
        <v>3.3980000000000001</v>
      </c>
      <c r="D678" s="11">
        <v>1.3660000000000001</v>
      </c>
      <c r="E678" s="11">
        <v>1.3120000000000001</v>
      </c>
    </row>
    <row r="679" spans="1:5" x14ac:dyDescent="0.25">
      <c r="A679" t="s">
        <v>189</v>
      </c>
      <c r="B679" s="1" t="str">
        <f>HYPERLINK("http://www.ncbi.nlm.nih.gov/pubmed/?term=Cd320", "Cd320")</f>
        <v>Cd320</v>
      </c>
      <c r="C679" s="22">
        <v>3.6589999999999998</v>
      </c>
      <c r="D679" s="3">
        <v>2.2599999999999998</v>
      </c>
      <c r="E679" s="3">
        <v>2.5390000000000001</v>
      </c>
    </row>
    <row r="680" spans="1:5" x14ac:dyDescent="0.25">
      <c r="A680" t="s">
        <v>56</v>
      </c>
      <c r="B680" s="1" t="str">
        <f>HYPERLINK("http://www.ncbi.nlm.nih.gov/pubmed/?term=Arhgap10", "Arhgap10")</f>
        <v>Arhgap10</v>
      </c>
      <c r="C680" s="22">
        <v>3.6840000000000002</v>
      </c>
      <c r="D680" s="3">
        <v>2.67</v>
      </c>
      <c r="E680" s="3">
        <v>2.0979999999999999</v>
      </c>
    </row>
    <row r="681" spans="1:5" x14ac:dyDescent="0.25">
      <c r="A681" t="s">
        <v>1462</v>
      </c>
      <c r="B681" s="1" t="str">
        <f>HYPERLINK("http://www.ncbi.nlm.nih.gov/pubmed/?term=Hilpda", "Hilpda")</f>
        <v>Hilpda</v>
      </c>
      <c r="C681" s="22">
        <v>3.4769999999999999</v>
      </c>
      <c r="D681" s="11">
        <v>1.7769999999999999</v>
      </c>
      <c r="E681" s="11">
        <v>1.25</v>
      </c>
    </row>
    <row r="682" spans="1:5" x14ac:dyDescent="0.25">
      <c r="A682" t="s">
        <v>366</v>
      </c>
      <c r="B682" s="1" t="str">
        <f>HYPERLINK("http://www.ncbi.nlm.nih.gov/pubmed/?term=Spred1", "Spred1")</f>
        <v>Spred1</v>
      </c>
      <c r="C682" s="22">
        <v>3.6579999999999999</v>
      </c>
      <c r="D682" s="3">
        <v>2.573</v>
      </c>
      <c r="E682" s="3">
        <v>2.1240000000000001</v>
      </c>
    </row>
    <row r="683" spans="1:5" x14ac:dyDescent="0.25">
      <c r="A683" t="s">
        <v>1725</v>
      </c>
      <c r="B683" s="1" t="str">
        <f>HYPERLINK("http://www.ncbi.nlm.nih.gov/pubmed/?term=Cd247", "Cd247")</f>
        <v>Cd247</v>
      </c>
      <c r="C683" s="22">
        <v>3.367</v>
      </c>
      <c r="D683" s="12">
        <v>0.92649999999999999</v>
      </c>
      <c r="E683" s="11">
        <v>1.3360000000000001</v>
      </c>
    </row>
    <row r="684" spans="1:5" x14ac:dyDescent="0.25">
      <c r="A684" t="s">
        <v>435</v>
      </c>
      <c r="B684" s="1" t="str">
        <f>HYPERLINK("http://www.ncbi.nlm.nih.gov/pubmed/?term=Gpd2", "Gpd2")</f>
        <v>Gpd2</v>
      </c>
      <c r="C684" s="22">
        <v>3.6219999999999999</v>
      </c>
      <c r="D684" s="3">
        <v>2.456</v>
      </c>
      <c r="E684" s="3">
        <v>2.097</v>
      </c>
    </row>
    <row r="685" spans="1:5" x14ac:dyDescent="0.25">
      <c r="A685" t="s">
        <v>1706</v>
      </c>
      <c r="B685" s="1" t="str">
        <f>HYPERLINK("http://www.ncbi.nlm.nih.gov/pubmed/?term=Mtmr10", "Mtmr10")</f>
        <v>Mtmr10</v>
      </c>
      <c r="C685" s="22">
        <v>3.5590000000000002</v>
      </c>
      <c r="D685" s="3">
        <v>2.202</v>
      </c>
      <c r="E685" s="11">
        <v>1.343</v>
      </c>
    </row>
    <row r="686" spans="1:5" x14ac:dyDescent="0.25">
      <c r="A686" t="s">
        <v>1791</v>
      </c>
      <c r="B686" s="1" t="str">
        <f>HYPERLINK("http://www.ncbi.nlm.nih.gov/pubmed/?term=Dlgap3", "Dlgap3")</f>
        <v>Dlgap3</v>
      </c>
      <c r="C686" s="22">
        <v>3.4750000000000001</v>
      </c>
      <c r="D686" s="12">
        <v>0.66180000000000005</v>
      </c>
      <c r="E686" s="11">
        <v>1.863</v>
      </c>
    </row>
    <row r="687" spans="1:5" x14ac:dyDescent="0.25">
      <c r="A687" t="s">
        <v>1427</v>
      </c>
      <c r="B687" s="1" t="str">
        <f>HYPERLINK("http://www.ncbi.nlm.nih.gov/pubmed/?term=Gk5", "Gk5")</f>
        <v>Gk5</v>
      </c>
      <c r="C687" s="22">
        <v>3.6269999999999998</v>
      </c>
      <c r="D687" s="12">
        <v>0.3901</v>
      </c>
      <c r="E687" s="3">
        <v>2.5289999999999999</v>
      </c>
    </row>
    <row r="688" spans="1:5" x14ac:dyDescent="0.25">
      <c r="A688" t="s">
        <v>1951</v>
      </c>
      <c r="B688" s="1" t="str">
        <f>HYPERLINK("http://www.ncbi.nlm.nih.gov/pubmed/?term=Cul5", "Cul5")</f>
        <v>Cul5</v>
      </c>
      <c r="C688" s="22">
        <v>3.6480000000000001</v>
      </c>
      <c r="D688" s="3">
        <v>2.625</v>
      </c>
      <c r="E688" s="3">
        <v>2.093</v>
      </c>
    </row>
    <row r="689" spans="1:5" x14ac:dyDescent="0.25">
      <c r="A689" t="s">
        <v>1843</v>
      </c>
      <c r="B689" s="1" t="str">
        <f>HYPERLINK("http://www.ncbi.nlm.nih.gov/pubmed/?term=Shank2", "Shank2")</f>
        <v>Shank2</v>
      </c>
      <c r="C689" s="22">
        <v>3.4060000000000001</v>
      </c>
      <c r="D689" s="12">
        <v>-0.85170000000000001</v>
      </c>
      <c r="E689" s="11">
        <v>1.6080000000000001</v>
      </c>
    </row>
    <row r="690" spans="1:5" x14ac:dyDescent="0.25">
      <c r="A690" t="s">
        <v>192</v>
      </c>
      <c r="B690" s="1" t="str">
        <f>HYPERLINK("http://www.ncbi.nlm.nih.gov/pubmed/?term=Tgtp1", "Tgtp1")</f>
        <v>Tgtp1</v>
      </c>
      <c r="C690" s="22">
        <v>3.5489999999999999</v>
      </c>
      <c r="D690" s="3">
        <v>2.2280000000000002</v>
      </c>
      <c r="E690" s="12">
        <v>-1.04</v>
      </c>
    </row>
    <row r="691" spans="1:5" x14ac:dyDescent="0.25">
      <c r="A691" t="s">
        <v>927</v>
      </c>
      <c r="B691" s="1" t="str">
        <f>HYPERLINK("http://www.ncbi.nlm.nih.gov/pubmed/?term=Rev3l", "Rev3l")</f>
        <v>Rev3l</v>
      </c>
      <c r="C691" s="22">
        <v>3.6179999999999999</v>
      </c>
      <c r="D691" s="3">
        <v>2.5409999999999999</v>
      </c>
      <c r="E691" s="3">
        <v>2.3860000000000001</v>
      </c>
    </row>
    <row r="692" spans="1:5" x14ac:dyDescent="0.25">
      <c r="A692" t="s">
        <v>88</v>
      </c>
      <c r="B692" s="1" t="str">
        <f>HYPERLINK("http://www.ncbi.nlm.nih.gov/pubmed/?term=Rnf219", "Rnf219")</f>
        <v>Rnf219</v>
      </c>
      <c r="C692" s="22">
        <v>3.4289999999999998</v>
      </c>
      <c r="D692" s="11">
        <v>1.7370000000000001</v>
      </c>
      <c r="E692" s="11">
        <v>1.0309999999999999</v>
      </c>
    </row>
    <row r="693" spans="1:5" x14ac:dyDescent="0.25">
      <c r="A693" t="s">
        <v>1740</v>
      </c>
      <c r="B693" s="1" t="str">
        <f>HYPERLINK("http://www.ncbi.nlm.nih.gov/pubmed/?term=Heatr3", "Heatr3")</f>
        <v>Heatr3</v>
      </c>
      <c r="C693" s="22">
        <v>3.6280000000000001</v>
      </c>
      <c r="D693" s="3">
        <v>2.617</v>
      </c>
      <c r="E693" s="3">
        <v>2.2639999999999998</v>
      </c>
    </row>
    <row r="694" spans="1:5" x14ac:dyDescent="0.25">
      <c r="A694" t="s">
        <v>384</v>
      </c>
      <c r="B694" s="1" t="str">
        <f>HYPERLINK("http://www.ncbi.nlm.nih.gov/pubmed/?term=Has3", "Has3")</f>
        <v>Has3</v>
      </c>
      <c r="C694" s="22">
        <v>3.3420000000000001</v>
      </c>
      <c r="D694" s="11">
        <v>1.3839999999999999</v>
      </c>
      <c r="E694" s="12">
        <v>-1.093</v>
      </c>
    </row>
    <row r="695" spans="1:5" x14ac:dyDescent="0.25">
      <c r="A695" t="s">
        <v>1130</v>
      </c>
      <c r="B695" s="1" t="str">
        <f>HYPERLINK("http://www.ncbi.nlm.nih.gov/pubmed/?term=2310030N02Rik", "2310030N02Rik")</f>
        <v>2310030N02Rik</v>
      </c>
      <c r="C695" s="22">
        <v>3.3679999999999999</v>
      </c>
      <c r="D695" s="11">
        <v>1.5049999999999999</v>
      </c>
      <c r="E695" s="11">
        <v>1.0109999999999999</v>
      </c>
    </row>
    <row r="696" spans="1:5" x14ac:dyDescent="0.25">
      <c r="A696" t="s">
        <v>1082</v>
      </c>
      <c r="B696" s="1" t="str">
        <f>HYPERLINK("http://www.ncbi.nlm.nih.gov/pubmed/?term=Hoxa3", "Hoxa3")</f>
        <v>Hoxa3</v>
      </c>
      <c r="C696" s="22">
        <v>3.4489999999999998</v>
      </c>
      <c r="D696" s="11">
        <v>1.857</v>
      </c>
      <c r="E696" s="12">
        <v>-0.86809999999999998</v>
      </c>
    </row>
    <row r="697" spans="1:5" x14ac:dyDescent="0.25">
      <c r="A697" t="s">
        <v>856</v>
      </c>
      <c r="B697" s="1" t="str">
        <f>HYPERLINK("http://www.ncbi.nlm.nih.gov/pubmed/?term=Lect1", "Lect1")</f>
        <v>Lect1</v>
      </c>
      <c r="C697" s="22">
        <v>3.4689999999999999</v>
      </c>
      <c r="D697" s="11">
        <v>1.0169999999999999</v>
      </c>
      <c r="E697" s="11">
        <v>1.9490000000000001</v>
      </c>
    </row>
    <row r="698" spans="1:5" x14ac:dyDescent="0.25">
      <c r="A698" t="s">
        <v>725</v>
      </c>
      <c r="B698" s="1" t="str">
        <f>HYPERLINK("http://www.ncbi.nlm.nih.gov/pubmed/?term=Fez2", "Fez2")</f>
        <v>Fez2</v>
      </c>
      <c r="C698" s="22">
        <v>3.5190000000000001</v>
      </c>
      <c r="D698" s="3">
        <v>2.2080000000000002</v>
      </c>
      <c r="E698" s="11">
        <v>1.0089999999999999</v>
      </c>
    </row>
    <row r="699" spans="1:5" x14ac:dyDescent="0.25">
      <c r="A699" t="s">
        <v>63</v>
      </c>
      <c r="B699" s="1" t="str">
        <f>HYPERLINK("http://www.ncbi.nlm.nih.gov/pubmed/?term=Tmem181b-ps", "Tmem181b-ps")</f>
        <v>Tmem181b-ps</v>
      </c>
      <c r="C699" s="22">
        <v>3.516</v>
      </c>
      <c r="D699" s="3">
        <v>2.2029999999999998</v>
      </c>
      <c r="E699" s="3">
        <v>2.1219999999999999</v>
      </c>
    </row>
    <row r="700" spans="1:5" x14ac:dyDescent="0.25">
      <c r="A700" t="s">
        <v>587</v>
      </c>
      <c r="B700" s="1" t="str">
        <f>HYPERLINK("http://www.ncbi.nlm.nih.gov/pubmed/?term=Crem", "Crem")</f>
        <v>Crem</v>
      </c>
      <c r="C700" s="22">
        <v>3.5649999999999999</v>
      </c>
      <c r="D700" s="3">
        <v>2.4279999999999999</v>
      </c>
      <c r="E700" s="3">
        <v>2.3530000000000002</v>
      </c>
    </row>
    <row r="701" spans="1:5" x14ac:dyDescent="0.25">
      <c r="A701" t="s">
        <v>285</v>
      </c>
      <c r="B701" s="1" t="str">
        <f>HYPERLINK("http://www.ncbi.nlm.nih.gov/pubmed/?term=Epha3", "Epha3")</f>
        <v>Epha3</v>
      </c>
      <c r="C701" s="22">
        <v>3.5339999999999998</v>
      </c>
      <c r="D701" s="12">
        <v>-0.56679999999999997</v>
      </c>
      <c r="E701" s="3">
        <v>2.2919999999999998</v>
      </c>
    </row>
    <row r="702" spans="1:5" x14ac:dyDescent="0.25">
      <c r="A702" t="s">
        <v>1878</v>
      </c>
      <c r="B702" s="1" t="str">
        <f>HYPERLINK("http://www.ncbi.nlm.nih.gov/pubmed/?term=Hrsp12", "Hrsp12")</f>
        <v>Hrsp12</v>
      </c>
      <c r="C702" s="22">
        <v>3.4790000000000001</v>
      </c>
      <c r="D702" s="3">
        <v>2.0739999999999998</v>
      </c>
      <c r="E702" s="11">
        <v>1.954</v>
      </c>
    </row>
    <row r="703" spans="1:5" x14ac:dyDescent="0.25">
      <c r="A703" t="s">
        <v>1900</v>
      </c>
      <c r="B703" s="1" t="str">
        <f>HYPERLINK("http://www.ncbi.nlm.nih.gov/pubmed/?term=A230046K03Rik", "A230046K03Rik")</f>
        <v>A230046K03Rik</v>
      </c>
      <c r="C703" s="22">
        <v>3.5670000000000002</v>
      </c>
      <c r="D703" s="3">
        <v>2.4609999999999999</v>
      </c>
      <c r="E703" s="3">
        <v>2.206</v>
      </c>
    </row>
    <row r="704" spans="1:5" x14ac:dyDescent="0.25">
      <c r="A704" t="s">
        <v>865</v>
      </c>
      <c r="B704" s="1" t="str">
        <f>HYPERLINK("http://www.ncbi.nlm.nih.gov/pubmed/?term=Ift88", "Ift88")</f>
        <v>Ift88</v>
      </c>
      <c r="C704" s="22">
        <v>3.5920000000000001</v>
      </c>
      <c r="D704" s="3">
        <v>2.5910000000000002</v>
      </c>
      <c r="E704" s="3">
        <v>2.3410000000000002</v>
      </c>
    </row>
    <row r="705" spans="1:5" x14ac:dyDescent="0.25">
      <c r="A705" t="s">
        <v>1754</v>
      </c>
      <c r="B705" s="1" t="str">
        <f>HYPERLINK("http://www.ncbi.nlm.nih.gov/pubmed/?term=Nynrin", "Nynrin")</f>
        <v>Nynrin</v>
      </c>
      <c r="C705" s="22">
        <v>3.5019999999999998</v>
      </c>
      <c r="D705" s="3">
        <v>2.23</v>
      </c>
      <c r="E705" s="12">
        <v>-6.8659999999999999E-2</v>
      </c>
    </row>
    <row r="706" spans="1:5" x14ac:dyDescent="0.25">
      <c r="A706" t="s">
        <v>325</v>
      </c>
      <c r="B706" s="1" t="str">
        <f>HYPERLINK("http://www.ncbi.nlm.nih.gov/pubmed/?term=Ganc", "Ganc")</f>
        <v>Ganc</v>
      </c>
      <c r="C706" s="22">
        <v>3.4790000000000001</v>
      </c>
      <c r="D706" s="3">
        <v>2.133</v>
      </c>
      <c r="E706" s="3">
        <v>2.081</v>
      </c>
    </row>
    <row r="707" spans="1:5" x14ac:dyDescent="0.25">
      <c r="A707" t="s">
        <v>1397</v>
      </c>
      <c r="B707" s="1" t="str">
        <f>HYPERLINK("http://www.ncbi.nlm.nih.gov/pubmed/?term=Optn", "Optn")</f>
        <v>Optn</v>
      </c>
      <c r="C707" s="22">
        <v>3.3610000000000002</v>
      </c>
      <c r="D707" s="11">
        <v>1.64</v>
      </c>
      <c r="E707" s="11">
        <v>1.4490000000000001</v>
      </c>
    </row>
    <row r="708" spans="1:5" x14ac:dyDescent="0.25">
      <c r="A708" t="s">
        <v>1865</v>
      </c>
      <c r="B708" s="1" t="str">
        <f>HYPERLINK("http://www.ncbi.nlm.nih.gov/pubmed/?term=Zfp142", "Zfp142")</f>
        <v>Zfp142</v>
      </c>
      <c r="C708" s="22">
        <v>3.4950000000000001</v>
      </c>
      <c r="D708" s="3">
        <v>2.2290000000000001</v>
      </c>
      <c r="E708" s="3">
        <v>2.2639999999999998</v>
      </c>
    </row>
    <row r="709" spans="1:5" x14ac:dyDescent="0.25">
      <c r="A709" t="s">
        <v>1482</v>
      </c>
      <c r="B709" s="1" t="str">
        <f>HYPERLINK("http://www.ncbi.nlm.nih.gov/pubmed/?term=Fnip1", "Fnip1")</f>
        <v>Fnip1</v>
      </c>
      <c r="C709" s="22">
        <v>3.4660000000000002</v>
      </c>
      <c r="D709" s="3">
        <v>2.1339999999999999</v>
      </c>
      <c r="E709" s="3">
        <v>2.1429999999999998</v>
      </c>
    </row>
    <row r="710" spans="1:5" x14ac:dyDescent="0.25">
      <c r="A710" t="s">
        <v>1581</v>
      </c>
      <c r="B710" s="1" t="str">
        <f>HYPERLINK("http://www.ncbi.nlm.nih.gov/pubmed/?term=Naf1", "Naf1")</f>
        <v>Naf1</v>
      </c>
      <c r="C710" s="22">
        <v>3.5449999999999999</v>
      </c>
      <c r="D710" s="3">
        <v>2.4900000000000002</v>
      </c>
      <c r="E710" s="3">
        <v>2.4089999999999998</v>
      </c>
    </row>
    <row r="711" spans="1:5" x14ac:dyDescent="0.25">
      <c r="A711" t="s">
        <v>1779</v>
      </c>
      <c r="B711" s="1" t="str">
        <f>HYPERLINK("http://www.ncbi.nlm.nih.gov/pubmed/?term=Kank3", "Kank3")</f>
        <v>Kank3</v>
      </c>
      <c r="C711" s="22">
        <v>3.4510000000000001</v>
      </c>
      <c r="D711" s="3">
        <v>2.12</v>
      </c>
      <c r="E711" s="12">
        <v>-0.33200000000000002</v>
      </c>
    </row>
    <row r="712" spans="1:5" x14ac:dyDescent="0.25">
      <c r="A712" t="s">
        <v>461</v>
      </c>
      <c r="B712" s="1" t="str">
        <f>HYPERLINK("http://www.ncbi.nlm.nih.gov/pubmed/?term=Hmha1", "Hmha1")</f>
        <v>Hmha1</v>
      </c>
      <c r="C712" s="22">
        <v>3.3610000000000002</v>
      </c>
      <c r="D712" s="11">
        <v>1.349</v>
      </c>
      <c r="E712" s="11">
        <v>1.746</v>
      </c>
    </row>
    <row r="713" spans="1:5" x14ac:dyDescent="0.25">
      <c r="A713" t="s">
        <v>1446</v>
      </c>
      <c r="B713" s="1" t="str">
        <f>HYPERLINK("http://www.ncbi.nlm.nih.gov/pubmed/?term=Haus4", "Haus4")</f>
        <v>Haus4</v>
      </c>
      <c r="C713" s="22">
        <v>3.5230000000000001</v>
      </c>
      <c r="D713" s="3">
        <v>2.4529999999999998</v>
      </c>
      <c r="E713" s="11">
        <v>1.72</v>
      </c>
    </row>
    <row r="714" spans="1:5" x14ac:dyDescent="0.25">
      <c r="A714" t="s">
        <v>1760</v>
      </c>
      <c r="B714" s="1" t="str">
        <f>HYPERLINK("http://www.ncbi.nlm.nih.gov/pubmed/?term=Myo5a", "Myo5a")</f>
        <v>Myo5a</v>
      </c>
      <c r="C714" s="22">
        <v>3.3980000000000001</v>
      </c>
      <c r="D714" s="11">
        <v>1.9139999999999999</v>
      </c>
      <c r="E714" s="11">
        <v>1.8089999999999999</v>
      </c>
    </row>
    <row r="715" spans="1:5" x14ac:dyDescent="0.25">
      <c r="A715" t="s">
        <v>1637</v>
      </c>
      <c r="B715" s="1" t="str">
        <f>HYPERLINK("http://www.ncbi.nlm.nih.gov/pubmed/?term=Zc3h12c", "Zc3h12c")</f>
        <v>Zc3h12c</v>
      </c>
      <c r="C715" s="22">
        <v>3.3919999999999999</v>
      </c>
      <c r="D715" s="11">
        <v>1.911</v>
      </c>
      <c r="E715" s="11">
        <v>1.8839999999999999</v>
      </c>
    </row>
    <row r="716" spans="1:5" x14ac:dyDescent="0.25">
      <c r="A716" t="s">
        <v>176</v>
      </c>
      <c r="B716" s="1" t="str">
        <f>HYPERLINK("http://www.ncbi.nlm.nih.gov/pubmed/?term=Gzf1", "Gzf1")</f>
        <v>Gzf1</v>
      </c>
      <c r="C716" s="22">
        <v>3.5190000000000001</v>
      </c>
      <c r="D716" s="3">
        <v>2.4689999999999999</v>
      </c>
      <c r="E716" s="11">
        <v>1.9259999999999999</v>
      </c>
    </row>
    <row r="717" spans="1:5" x14ac:dyDescent="0.25">
      <c r="A717" t="s">
        <v>781</v>
      </c>
      <c r="B717" s="1" t="str">
        <f>HYPERLINK("http://www.ncbi.nlm.nih.gov/pubmed/?term=Foxm1", "Foxm1")</f>
        <v>Foxm1</v>
      </c>
      <c r="C717" s="22">
        <v>3.48</v>
      </c>
      <c r="D717" s="11">
        <v>1.952</v>
      </c>
      <c r="E717" s="3">
        <v>2.3330000000000002</v>
      </c>
    </row>
    <row r="718" spans="1:5" x14ac:dyDescent="0.25">
      <c r="A718" t="s">
        <v>1107</v>
      </c>
      <c r="B718" s="1" t="str">
        <f>HYPERLINK("http://www.ncbi.nlm.nih.gov/pubmed/?term=Slc46a1", "Slc46a1")</f>
        <v>Slc46a1</v>
      </c>
      <c r="C718" s="22">
        <v>3.4849999999999999</v>
      </c>
      <c r="D718" s="3">
        <v>2.3929999999999998</v>
      </c>
      <c r="E718" s="12">
        <v>0.87929999999999997</v>
      </c>
    </row>
    <row r="719" spans="1:5" x14ac:dyDescent="0.25">
      <c r="A719" t="s">
        <v>1025</v>
      </c>
      <c r="B719" s="1" t="str">
        <f>HYPERLINK("http://www.ncbi.nlm.nih.gov/pubmed/?term=Zbtb10", "Zbtb10")</f>
        <v>Zbtb10</v>
      </c>
      <c r="C719" s="22">
        <v>3.4159999999999999</v>
      </c>
      <c r="D719" s="3">
        <v>2.3180000000000001</v>
      </c>
      <c r="E719" s="11">
        <v>1.6759999999999999</v>
      </c>
    </row>
    <row r="720" spans="1:5" x14ac:dyDescent="0.25">
      <c r="A720" t="s">
        <v>221</v>
      </c>
      <c r="B720" s="1" t="str">
        <f>HYPERLINK("http://www.ncbi.nlm.nih.gov/pubmed/?term=Slc23a2", "Slc23a2")</f>
        <v>Slc23a2</v>
      </c>
      <c r="C720" s="22">
        <v>3.3759999999999999</v>
      </c>
      <c r="D720" s="3">
        <v>2.1549999999999998</v>
      </c>
      <c r="E720" s="11">
        <v>1.224</v>
      </c>
    </row>
    <row r="721" spans="1:5" x14ac:dyDescent="0.25">
      <c r="A721" t="s">
        <v>210</v>
      </c>
      <c r="B721" s="1" t="str">
        <f>HYPERLINK("http://www.ncbi.nlm.nih.gov/pubmed/?term=Ehd4", "Ehd4")</f>
        <v>Ehd4</v>
      </c>
      <c r="C721" s="22">
        <v>3.3879999999999999</v>
      </c>
      <c r="D721" s="3">
        <v>2.21</v>
      </c>
      <c r="E721" s="3">
        <v>2.0059999999999998</v>
      </c>
    </row>
    <row r="722" spans="1:5" x14ac:dyDescent="0.25">
      <c r="A722" t="s">
        <v>103</v>
      </c>
      <c r="B722" s="1" t="str">
        <f>HYPERLINK("http://www.ncbi.nlm.nih.gov/pubmed/?term=Ror1", "Ror1")</f>
        <v>Ror1</v>
      </c>
      <c r="C722" s="22">
        <v>3.36</v>
      </c>
      <c r="D722" s="12">
        <v>0.94269999999999998</v>
      </c>
      <c r="E722" s="3">
        <v>2.1629999999999998</v>
      </c>
    </row>
    <row r="723" spans="1:5" x14ac:dyDescent="0.25">
      <c r="A723" t="s">
        <v>2026</v>
      </c>
      <c r="B723" s="1" t="str">
        <f>HYPERLINK("http://www.ncbi.nlm.nih.gov/pubmed/?term=Pwwp2b", "Pwwp2b")</f>
        <v>Pwwp2b</v>
      </c>
      <c r="C723" s="22">
        <v>3.3290000000000002</v>
      </c>
      <c r="D723" s="3">
        <v>2.1800000000000002</v>
      </c>
      <c r="E723" s="11">
        <v>1.669</v>
      </c>
    </row>
  </sheetData>
  <autoFilter ref="A1:E7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4"/>
  <sheetViews>
    <sheetView workbookViewId="0"/>
  </sheetViews>
  <sheetFormatPr defaultRowHeight="15" x14ac:dyDescent="0.25"/>
  <cols>
    <col min="1" max="1" width="11" customWidth="1"/>
    <col min="2" max="2" width="13" customWidth="1"/>
    <col min="3" max="5" width="39.85546875" customWidth="1"/>
  </cols>
  <sheetData>
    <row r="1" spans="1:5" x14ac:dyDescent="0.25">
      <c r="A1" s="17" t="s">
        <v>1534</v>
      </c>
      <c r="B1" s="17" t="s">
        <v>1232</v>
      </c>
      <c r="C1" s="17" t="s">
        <v>2073</v>
      </c>
      <c r="D1" s="17" t="s">
        <v>2074</v>
      </c>
      <c r="E1" s="17" t="s">
        <v>2075</v>
      </c>
    </row>
    <row r="2" spans="1:5" x14ac:dyDescent="0.25">
      <c r="A2" t="s">
        <v>1624</v>
      </c>
      <c r="B2" s="1" t="str">
        <f>HYPERLINK("http://www.ncbi.nlm.nih.gov/pubmed/?term=Gm10222", "Gm10222")</f>
        <v>Gm10222</v>
      </c>
      <c r="C2" s="19">
        <v>9.3420000000000005</v>
      </c>
      <c r="D2" s="19">
        <v>10.5</v>
      </c>
      <c r="E2" s="19">
        <v>9.0510000000000002</v>
      </c>
    </row>
    <row r="3" spans="1:5" x14ac:dyDescent="0.25">
      <c r="A3" t="s">
        <v>1576</v>
      </c>
      <c r="B3" s="1" t="str">
        <f>HYPERLINK("http://www.ncbi.nlm.nih.gov/pubmed/?term=Expi", "Expi")</f>
        <v>Expi</v>
      </c>
      <c r="C3" s="6">
        <v>1.2929999999999999</v>
      </c>
      <c r="D3" s="19">
        <v>9.6809999999999992</v>
      </c>
      <c r="E3" s="7">
        <v>7.5679999999999996</v>
      </c>
    </row>
    <row r="4" spans="1:5" x14ac:dyDescent="0.25">
      <c r="A4" t="s">
        <v>1690</v>
      </c>
      <c r="B4" s="1" t="str">
        <f>HYPERLINK("http://www.ncbi.nlm.nih.gov/pubmed/?term=Apoe", "Apoe")</f>
        <v>Apoe</v>
      </c>
      <c r="C4" s="2">
        <v>6.008</v>
      </c>
      <c r="D4" s="9">
        <v>8.8759999999999994</v>
      </c>
      <c r="E4" s="10">
        <v>5.67</v>
      </c>
    </row>
    <row r="5" spans="1:5" x14ac:dyDescent="0.25">
      <c r="A5" t="s">
        <v>1546</v>
      </c>
      <c r="B5" s="1" t="str">
        <f>HYPERLINK("http://www.ncbi.nlm.nih.gov/pubmed/?term=Ifi27l2a", "Ifi27l2a")</f>
        <v>Ifi27l2a</v>
      </c>
      <c r="C5" s="7">
        <v>7.3630000000000004</v>
      </c>
      <c r="D5" s="19">
        <v>9.0519999999999996</v>
      </c>
      <c r="E5" s="10">
        <v>5.4189999999999996</v>
      </c>
    </row>
    <row r="6" spans="1:5" x14ac:dyDescent="0.25">
      <c r="A6" t="s">
        <v>1325</v>
      </c>
      <c r="B6" s="1" t="str">
        <f>HYPERLINK("http://www.ncbi.nlm.nih.gov/pubmed/?term=Gm8113", "Gm8113")</f>
        <v>Gm8113</v>
      </c>
      <c r="C6" s="8">
        <v>4.2510000000000003</v>
      </c>
      <c r="D6" s="9">
        <v>8.6969999999999992</v>
      </c>
      <c r="E6" s="2">
        <v>6.476</v>
      </c>
    </row>
    <row r="7" spans="1:5" x14ac:dyDescent="0.25">
      <c r="A7" t="s">
        <v>1654</v>
      </c>
      <c r="B7" s="1" t="str">
        <f>HYPERLINK("http://www.ncbi.nlm.nih.gov/pubmed/?term=Krt14", "Krt14")</f>
        <v>Krt14</v>
      </c>
      <c r="C7" s="18">
        <v>3.3210000000000002</v>
      </c>
      <c r="D7" s="9">
        <v>8.6359999999999992</v>
      </c>
      <c r="E7" s="2">
        <v>6.3769999999999998</v>
      </c>
    </row>
    <row r="8" spans="1:5" x14ac:dyDescent="0.25">
      <c r="A8" t="s">
        <v>595</v>
      </c>
      <c r="B8" s="1" t="str">
        <f>HYPERLINK("http://www.ncbi.nlm.nih.gov/pubmed/?term=Ly6a", "Ly6a")</f>
        <v>Ly6a</v>
      </c>
      <c r="C8" s="16">
        <v>2.2930000000000001</v>
      </c>
      <c r="D8" s="9">
        <v>8.4</v>
      </c>
      <c r="E8" s="10">
        <v>5.609</v>
      </c>
    </row>
    <row r="9" spans="1:5" x14ac:dyDescent="0.25">
      <c r="A9" t="s">
        <v>116</v>
      </c>
      <c r="B9" s="1" t="str">
        <f>HYPERLINK("http://www.ncbi.nlm.nih.gov/pubmed/?term=Ly6e", "Ly6e")</f>
        <v>Ly6e</v>
      </c>
      <c r="C9" s="7">
        <v>7.7469999999999999</v>
      </c>
      <c r="D9" s="9">
        <v>8.8919999999999995</v>
      </c>
      <c r="E9" s="7">
        <v>7.7060000000000004</v>
      </c>
    </row>
    <row r="10" spans="1:5" x14ac:dyDescent="0.25">
      <c r="A10" t="s">
        <v>459</v>
      </c>
      <c r="B10" s="1" t="str">
        <f>HYPERLINK("http://www.ncbi.nlm.nih.gov/pubmed/?term=Tpm2", "Tpm2")</f>
        <v>Tpm2</v>
      </c>
      <c r="C10" s="8">
        <v>4.0090000000000003</v>
      </c>
      <c r="D10" s="9">
        <v>8.5939999999999994</v>
      </c>
      <c r="E10" s="2">
        <v>6.9790000000000001</v>
      </c>
    </row>
    <row r="11" spans="1:5" x14ac:dyDescent="0.25">
      <c r="A11" t="s">
        <v>627</v>
      </c>
      <c r="B11" s="1" t="str">
        <f>HYPERLINK("http://www.ncbi.nlm.nih.gov/pubmed/?term=Gpx3", "Gpx3")</f>
        <v>Gpx3</v>
      </c>
      <c r="C11" s="6">
        <v>1.43</v>
      </c>
      <c r="D11" s="7">
        <v>7.9320000000000004</v>
      </c>
      <c r="E11" s="8">
        <v>4.1550000000000002</v>
      </c>
    </row>
    <row r="12" spans="1:5" x14ac:dyDescent="0.25">
      <c r="A12" t="s">
        <v>1129</v>
      </c>
      <c r="B12" s="1" t="str">
        <f>HYPERLINK("http://www.ncbi.nlm.nih.gov/pubmed/?term=Igfbp5", "Igfbp5")</f>
        <v>Igfbp5</v>
      </c>
      <c r="C12" s="6">
        <v>1.091</v>
      </c>
      <c r="D12" s="7">
        <v>7.9210000000000003</v>
      </c>
      <c r="E12" s="8">
        <v>4.28</v>
      </c>
    </row>
    <row r="13" spans="1:5" x14ac:dyDescent="0.25">
      <c r="A13" t="s">
        <v>988</v>
      </c>
      <c r="B13" s="1" t="str">
        <f>HYPERLINK("http://www.ncbi.nlm.nih.gov/pubmed/?term=Clu", "Clu")</f>
        <v>Clu</v>
      </c>
      <c r="C13" s="18">
        <v>3.5209999999999999</v>
      </c>
      <c r="D13" s="9">
        <v>8.49</v>
      </c>
      <c r="E13" s="2">
        <v>6.8049999999999997</v>
      </c>
    </row>
    <row r="14" spans="1:5" x14ac:dyDescent="0.25">
      <c r="A14" t="s">
        <v>1748</v>
      </c>
      <c r="B14" s="1" t="str">
        <f>HYPERLINK("http://www.ncbi.nlm.nih.gov/pubmed/?term=Cd24a", "Cd24a")</f>
        <v>Cd24a</v>
      </c>
      <c r="C14" s="18">
        <v>3.4369999999999998</v>
      </c>
      <c r="D14" s="9">
        <v>8.2710000000000008</v>
      </c>
      <c r="E14" s="2">
        <v>6.0540000000000003</v>
      </c>
    </row>
    <row r="15" spans="1:5" x14ac:dyDescent="0.25">
      <c r="A15" t="s">
        <v>736</v>
      </c>
      <c r="B15" s="1" t="str">
        <f>HYPERLINK("http://www.ncbi.nlm.nih.gov/pubmed/?term=Avil", "Avil")</f>
        <v>Avil</v>
      </c>
      <c r="C15" s="12">
        <v>-1.1870000000000001</v>
      </c>
      <c r="D15" s="7">
        <v>7.7539999999999996</v>
      </c>
      <c r="E15" s="18">
        <v>3.9460000000000002</v>
      </c>
    </row>
    <row r="16" spans="1:5" x14ac:dyDescent="0.25">
      <c r="A16" t="s">
        <v>1852</v>
      </c>
      <c r="B16" s="1" t="str">
        <f>HYPERLINK("http://www.ncbi.nlm.nih.gov/pubmed/?term=Lrmp", "Lrmp")</f>
        <v>Lrmp</v>
      </c>
      <c r="C16" s="16">
        <v>2.2519999999999998</v>
      </c>
      <c r="D16" s="7">
        <v>7.6449999999999996</v>
      </c>
      <c r="E16" s="18">
        <v>3.512</v>
      </c>
    </row>
    <row r="17" spans="1:5" x14ac:dyDescent="0.25">
      <c r="A17" t="s">
        <v>1435</v>
      </c>
      <c r="B17" s="1" t="str">
        <f>HYPERLINK("http://www.ncbi.nlm.nih.gov/pubmed/?term=Mgp", "Mgp")</f>
        <v>Mgp</v>
      </c>
      <c r="C17" s="8">
        <v>4.1660000000000004</v>
      </c>
      <c r="D17" s="7">
        <v>7.7939999999999996</v>
      </c>
      <c r="E17" s="6">
        <v>1.3029999999999999</v>
      </c>
    </row>
    <row r="18" spans="1:5" x14ac:dyDescent="0.25">
      <c r="A18" t="s">
        <v>769</v>
      </c>
      <c r="B18" s="1" t="str">
        <f>HYPERLINK("http://www.ncbi.nlm.nih.gov/pubmed/?term=Tgfbi", "Tgfbi")</f>
        <v>Tgfbi</v>
      </c>
      <c r="C18" s="6">
        <v>1.897</v>
      </c>
      <c r="D18" s="7">
        <v>7.431</v>
      </c>
      <c r="E18" s="16">
        <v>2.6240000000000001</v>
      </c>
    </row>
    <row r="19" spans="1:5" x14ac:dyDescent="0.25">
      <c r="A19" t="s">
        <v>1045</v>
      </c>
      <c r="B19" s="1" t="str">
        <f>HYPERLINK("http://www.ncbi.nlm.nih.gov/pubmed/?term=Gnat3", "Gnat3")</f>
        <v>Gnat3</v>
      </c>
      <c r="C19" s="12">
        <v>-1.901</v>
      </c>
      <c r="D19" s="7">
        <v>7.2140000000000004</v>
      </c>
      <c r="E19" s="16">
        <v>2.028</v>
      </c>
    </row>
    <row r="20" spans="1:5" x14ac:dyDescent="0.25">
      <c r="A20" t="s">
        <v>1958</v>
      </c>
      <c r="B20" s="1" t="str">
        <f>HYPERLINK("http://www.ncbi.nlm.nih.gov/pubmed/?term=Hspb1", "Hspb1")</f>
        <v>Hspb1</v>
      </c>
      <c r="C20" s="12">
        <v>0.16650000000000001</v>
      </c>
      <c r="D20" s="7">
        <v>7.899</v>
      </c>
      <c r="E20" s="10">
        <v>5.085</v>
      </c>
    </row>
    <row r="21" spans="1:5" x14ac:dyDescent="0.25">
      <c r="A21" t="s">
        <v>1215</v>
      </c>
      <c r="B21" s="1" t="str">
        <f>HYPERLINK("http://www.ncbi.nlm.nih.gov/pubmed/?term=Tagln", "Tagln")</f>
        <v>Tagln</v>
      </c>
      <c r="C21" s="18">
        <v>3.5880000000000001</v>
      </c>
      <c r="D21" s="7">
        <v>7.55</v>
      </c>
      <c r="E21" s="18">
        <v>3.6280000000000001</v>
      </c>
    </row>
    <row r="22" spans="1:5" x14ac:dyDescent="0.25">
      <c r="A22" t="s">
        <v>1289</v>
      </c>
      <c r="B22" s="1" t="str">
        <f>HYPERLINK("http://www.ncbi.nlm.nih.gov/pubmed/?term=Acta2", "Acta2")</f>
        <v>Acta2</v>
      </c>
      <c r="C22" s="16">
        <v>2.6469999999999998</v>
      </c>
      <c r="D22" s="7">
        <v>7.3609999999999998</v>
      </c>
      <c r="E22" s="18">
        <v>3.4630000000000001</v>
      </c>
    </row>
    <row r="23" spans="1:5" x14ac:dyDescent="0.25">
      <c r="A23" t="s">
        <v>1182</v>
      </c>
      <c r="B23" s="1" t="str">
        <f>HYPERLINK("http://www.ncbi.nlm.nih.gov/pubmed/?term=Plac8", "Plac8")</f>
        <v>Plac8</v>
      </c>
      <c r="C23" s="6">
        <v>1.3320000000000001</v>
      </c>
      <c r="D23" s="7">
        <v>7.1420000000000003</v>
      </c>
      <c r="E23" s="16">
        <v>2.7909999999999999</v>
      </c>
    </row>
    <row r="24" spans="1:5" x14ac:dyDescent="0.25">
      <c r="A24" t="s">
        <v>1398</v>
      </c>
      <c r="B24" s="1" t="str">
        <f>HYPERLINK("http://www.ncbi.nlm.nih.gov/pubmed/?term=Rgs5", "Rgs5")</f>
        <v>Rgs5</v>
      </c>
      <c r="C24" s="6">
        <v>1.486</v>
      </c>
      <c r="D24" s="9">
        <v>8.0540000000000003</v>
      </c>
      <c r="E24" s="2">
        <v>6.8570000000000002</v>
      </c>
    </row>
    <row r="25" spans="1:5" x14ac:dyDescent="0.25">
      <c r="A25" t="s">
        <v>1924</v>
      </c>
      <c r="B25" s="1" t="str">
        <f>HYPERLINK("http://www.ncbi.nlm.nih.gov/pubmed/?term=Trpm5", "Trpm5")</f>
        <v>Trpm5</v>
      </c>
      <c r="C25" s="12">
        <v>-1.9850000000000001</v>
      </c>
      <c r="D25" s="7">
        <v>7.1289999999999996</v>
      </c>
      <c r="E25" s="16">
        <v>2.8660000000000001</v>
      </c>
    </row>
    <row r="26" spans="1:5" x14ac:dyDescent="0.25">
      <c r="A26" t="s">
        <v>16</v>
      </c>
      <c r="B26" s="1" t="str">
        <f>HYPERLINK("http://www.ncbi.nlm.nih.gov/pubmed/?term=Ivns1abp", "Ivns1abp")</f>
        <v>Ivns1abp</v>
      </c>
      <c r="C26" s="8">
        <v>4.6550000000000002</v>
      </c>
      <c r="D26" s="7">
        <v>7.8620000000000001</v>
      </c>
      <c r="E26" s="2">
        <v>6.2220000000000004</v>
      </c>
    </row>
    <row r="27" spans="1:5" x14ac:dyDescent="0.25">
      <c r="A27" t="s">
        <v>1166</v>
      </c>
      <c r="B27" s="1" t="str">
        <f>HYPERLINK("http://www.ncbi.nlm.nih.gov/pubmed/?term=Gsn", "Gsn")</f>
        <v>Gsn</v>
      </c>
      <c r="C27" s="18">
        <v>3.1230000000000002</v>
      </c>
      <c r="D27" s="7">
        <v>7.5839999999999996</v>
      </c>
      <c r="E27" s="10">
        <v>5.0309999999999997</v>
      </c>
    </row>
    <row r="28" spans="1:5" x14ac:dyDescent="0.25">
      <c r="A28" t="s">
        <v>1469</v>
      </c>
      <c r="B28" s="1" t="str">
        <f>HYPERLINK("http://www.ncbi.nlm.nih.gov/pubmed/?term=Alox5ap", "Alox5ap")</f>
        <v>Alox5ap</v>
      </c>
      <c r="C28" s="12">
        <v>-2.024</v>
      </c>
      <c r="D28" s="2">
        <v>6.9930000000000003</v>
      </c>
      <c r="E28" s="16">
        <v>2.5379999999999998</v>
      </c>
    </row>
    <row r="29" spans="1:5" x14ac:dyDescent="0.25">
      <c r="A29" t="s">
        <v>7</v>
      </c>
      <c r="B29" s="1" t="str">
        <f>HYPERLINK("http://www.ncbi.nlm.nih.gov/pubmed/?term=Sh2d6", "Sh2d6")</f>
        <v>Sh2d6</v>
      </c>
      <c r="C29" s="12">
        <v>-2.766</v>
      </c>
      <c r="D29" s="2">
        <v>6.9720000000000004</v>
      </c>
      <c r="E29" s="16">
        <v>2.64</v>
      </c>
    </row>
    <row r="30" spans="1:5" x14ac:dyDescent="0.25">
      <c r="A30" t="s">
        <v>1801</v>
      </c>
      <c r="B30" s="1" t="str">
        <f>HYPERLINK("http://www.ncbi.nlm.nih.gov/pubmed/?term=Anxa1", "Anxa1")</f>
        <v>Anxa1</v>
      </c>
      <c r="C30" s="10">
        <v>5.14</v>
      </c>
      <c r="D30" s="7">
        <v>7.625</v>
      </c>
      <c r="E30" s="10">
        <v>5.47</v>
      </c>
    </row>
    <row r="31" spans="1:5" x14ac:dyDescent="0.25">
      <c r="A31" t="s">
        <v>807</v>
      </c>
      <c r="B31" s="1" t="str">
        <f>HYPERLINK("http://www.ncbi.nlm.nih.gov/pubmed/?term=Hspa1b", "Hspa1b")</f>
        <v>Hspa1b</v>
      </c>
      <c r="C31" s="10">
        <v>5.375</v>
      </c>
      <c r="D31" s="7">
        <v>7.7729999999999997</v>
      </c>
      <c r="E31" s="2">
        <v>6.2270000000000003</v>
      </c>
    </row>
    <row r="32" spans="1:5" x14ac:dyDescent="0.25">
      <c r="A32" t="s">
        <v>1248</v>
      </c>
      <c r="B32" s="1" t="str">
        <f>HYPERLINK("http://www.ncbi.nlm.nih.gov/pubmed/?term=Gp2", "Gp2")</f>
        <v>Gp2</v>
      </c>
      <c r="C32" s="12">
        <v>-0.92589999999999995</v>
      </c>
      <c r="D32" s="7">
        <v>7.1680000000000001</v>
      </c>
      <c r="E32" s="18">
        <v>3.8130000000000002</v>
      </c>
    </row>
    <row r="33" spans="1:5" x14ac:dyDescent="0.25">
      <c r="A33" t="s">
        <v>1959</v>
      </c>
      <c r="B33" s="1" t="str">
        <f>HYPERLINK("http://www.ncbi.nlm.nih.gov/pubmed/?term=Col6a1", "Col6a1")</f>
        <v>Col6a1</v>
      </c>
      <c r="C33" s="10">
        <v>5.1269999999999998</v>
      </c>
      <c r="D33" s="7">
        <v>7.452</v>
      </c>
      <c r="E33" s="18">
        <v>3.427</v>
      </c>
    </row>
    <row r="34" spans="1:5" x14ac:dyDescent="0.25">
      <c r="A34" t="s">
        <v>1223</v>
      </c>
      <c r="B34" s="1" t="str">
        <f>HYPERLINK("http://www.ncbi.nlm.nih.gov/pubmed/?term=Ascl1", "Ascl1")</f>
        <v>Ascl1</v>
      </c>
      <c r="C34" s="18">
        <v>3.089</v>
      </c>
      <c r="D34" s="7">
        <v>7.7859999999999996</v>
      </c>
      <c r="E34" s="2">
        <v>6.6539999999999999</v>
      </c>
    </row>
    <row r="35" spans="1:5" x14ac:dyDescent="0.25">
      <c r="A35" t="s">
        <v>1373</v>
      </c>
      <c r="B35" s="1" t="str">
        <f>HYPERLINK("http://www.ncbi.nlm.nih.gov/pubmed/?term=Irf7", "Irf7")</f>
        <v>Irf7</v>
      </c>
      <c r="C35" s="8">
        <v>4.4390000000000001</v>
      </c>
      <c r="D35" s="7">
        <v>7.2649999999999997</v>
      </c>
      <c r="E35" s="18">
        <v>3.5259999999999998</v>
      </c>
    </row>
    <row r="36" spans="1:5" x14ac:dyDescent="0.25">
      <c r="A36" t="s">
        <v>1674</v>
      </c>
      <c r="B36" s="1" t="str">
        <f>HYPERLINK("http://www.ncbi.nlm.nih.gov/pubmed/?term=Igfbp4", "Igfbp4")</f>
        <v>Igfbp4</v>
      </c>
      <c r="C36" s="16">
        <v>2.9729999999999999</v>
      </c>
      <c r="D36" s="7">
        <v>7.1859999999999999</v>
      </c>
      <c r="E36" s="8">
        <v>4.1829999999999998</v>
      </c>
    </row>
    <row r="37" spans="1:5" x14ac:dyDescent="0.25">
      <c r="A37" t="s">
        <v>1236</v>
      </c>
      <c r="B37" s="1" t="str">
        <f>HYPERLINK("http://www.ncbi.nlm.nih.gov/pubmed/?term=Wfikkn2", "Wfikkn2")</f>
        <v>Wfikkn2</v>
      </c>
      <c r="C37" s="8">
        <v>4.5010000000000003</v>
      </c>
      <c r="D37" s="7">
        <v>7.1890000000000001</v>
      </c>
      <c r="E37" s="8">
        <v>4.3129999999999997</v>
      </c>
    </row>
    <row r="38" spans="1:5" x14ac:dyDescent="0.25">
      <c r="A38" t="s">
        <v>1208</v>
      </c>
      <c r="B38" s="1" t="str">
        <f>HYPERLINK("http://www.ncbi.nlm.nih.gov/pubmed/?term=Tagln2", "Tagln2")</f>
        <v>Tagln2</v>
      </c>
      <c r="C38" s="8">
        <v>4.7709999999999999</v>
      </c>
      <c r="D38" s="7">
        <v>7.5419999999999998</v>
      </c>
      <c r="E38" s="2">
        <v>6.2060000000000004</v>
      </c>
    </row>
    <row r="39" spans="1:5" x14ac:dyDescent="0.25">
      <c r="A39" t="s">
        <v>778</v>
      </c>
      <c r="B39" s="1" t="str">
        <f>HYPERLINK("http://www.ncbi.nlm.nih.gov/pubmed/?term=Ccl11", "Ccl11")</f>
        <v>Ccl11</v>
      </c>
      <c r="C39" s="12">
        <v>-1.4179999999999999</v>
      </c>
      <c r="D39" s="2">
        <v>6.88</v>
      </c>
      <c r="E39" s="18">
        <v>3.6739999999999999</v>
      </c>
    </row>
    <row r="40" spans="1:5" x14ac:dyDescent="0.25">
      <c r="A40" t="s">
        <v>505</v>
      </c>
      <c r="B40" s="1" t="str">
        <f>HYPERLINK("http://www.ncbi.nlm.nih.gov/pubmed/?term=Col6a2", "Col6a2")</f>
        <v>Col6a2</v>
      </c>
      <c r="C40" s="18">
        <v>3.298</v>
      </c>
      <c r="D40" s="2">
        <v>6.7389999999999999</v>
      </c>
      <c r="E40" s="16">
        <v>2.431</v>
      </c>
    </row>
    <row r="41" spans="1:5" x14ac:dyDescent="0.25">
      <c r="A41" t="s">
        <v>568</v>
      </c>
      <c r="B41" s="1" t="str">
        <f>HYPERLINK("http://www.ncbi.nlm.nih.gov/pubmed/?term=Rgs13", "Rgs13")</f>
        <v>Rgs13</v>
      </c>
      <c r="C41" s="12">
        <v>-2.7450000000000001</v>
      </c>
      <c r="D41" s="2">
        <v>6.4080000000000004</v>
      </c>
      <c r="E41" s="6">
        <v>1.883</v>
      </c>
    </row>
    <row r="42" spans="1:5" x14ac:dyDescent="0.25">
      <c r="A42" t="s">
        <v>1963</v>
      </c>
      <c r="B42" s="1" t="str">
        <f>HYPERLINK("http://www.ncbi.nlm.nih.gov/pubmed/?term=Krtdap", "Krtdap")</f>
        <v>Krtdap</v>
      </c>
      <c r="C42" s="12">
        <v>0.46410000000000001</v>
      </c>
      <c r="D42" s="7">
        <v>7.2030000000000003</v>
      </c>
      <c r="E42" s="10">
        <v>5.3570000000000002</v>
      </c>
    </row>
    <row r="43" spans="1:5" x14ac:dyDescent="0.25">
      <c r="A43" t="s">
        <v>1887</v>
      </c>
      <c r="B43" s="1" t="str">
        <f>HYPERLINK("http://www.ncbi.nlm.nih.gov/pubmed/?term=Atp2a3", "Atp2a3")</f>
        <v>Atp2a3</v>
      </c>
      <c r="C43" s="16">
        <v>2.1160000000000001</v>
      </c>
      <c r="D43" s="7">
        <v>7.1790000000000003</v>
      </c>
      <c r="E43" s="10">
        <v>5.2649999999999997</v>
      </c>
    </row>
    <row r="44" spans="1:5" x14ac:dyDescent="0.25">
      <c r="A44" t="s">
        <v>1410</v>
      </c>
      <c r="B44" s="1" t="str">
        <f>HYPERLINK("http://www.ncbi.nlm.nih.gov/pubmed/?term=Msln", "Msln")</f>
        <v>Msln</v>
      </c>
      <c r="C44" s="12">
        <v>-0.14019999999999999</v>
      </c>
      <c r="D44" s="7">
        <v>7.37</v>
      </c>
      <c r="E44" s="2">
        <v>6.1909999999999998</v>
      </c>
    </row>
    <row r="45" spans="1:5" x14ac:dyDescent="0.25">
      <c r="A45" t="s">
        <v>476</v>
      </c>
      <c r="B45" s="1" t="str">
        <f>HYPERLINK("http://www.ncbi.nlm.nih.gov/pubmed/?term=Clca2", "Clca2")</f>
        <v>Clca2</v>
      </c>
      <c r="C45" s="12">
        <v>-2.1139999999999999</v>
      </c>
      <c r="D45" s="7">
        <v>7.0510000000000002</v>
      </c>
      <c r="E45" s="10">
        <v>5.141</v>
      </c>
    </row>
    <row r="46" spans="1:5" x14ac:dyDescent="0.25">
      <c r="A46" t="s">
        <v>1768</v>
      </c>
      <c r="B46" s="1" t="str">
        <f>HYPERLINK("http://www.ncbi.nlm.nih.gov/pubmed/?term=Cald1", "Cald1")</f>
        <v>Cald1</v>
      </c>
      <c r="C46" s="18">
        <v>3.1070000000000002</v>
      </c>
      <c r="D46" s="2">
        <v>6.7880000000000003</v>
      </c>
      <c r="E46" s="8">
        <v>4.0339999999999998</v>
      </c>
    </row>
    <row r="47" spans="1:5" x14ac:dyDescent="0.25">
      <c r="A47" t="s">
        <v>499</v>
      </c>
      <c r="B47" s="1" t="str">
        <f>HYPERLINK("http://www.ncbi.nlm.nih.gov/pubmed/?term=Mapk13", "Mapk13")</f>
        <v>Mapk13</v>
      </c>
      <c r="C47" s="16">
        <v>2.2389999999999999</v>
      </c>
      <c r="D47" s="7">
        <v>7.0960000000000001</v>
      </c>
      <c r="E47" s="10">
        <v>5.49</v>
      </c>
    </row>
    <row r="48" spans="1:5" x14ac:dyDescent="0.25">
      <c r="A48" t="s">
        <v>1818</v>
      </c>
      <c r="B48" s="1" t="str">
        <f>HYPERLINK("http://www.ncbi.nlm.nih.gov/pubmed/?term=Dclk1", "Dclk1")</f>
        <v>Dclk1</v>
      </c>
      <c r="C48" s="12">
        <v>0.86419999999999997</v>
      </c>
      <c r="D48" s="2">
        <v>6.266</v>
      </c>
      <c r="E48" s="16">
        <v>2.0049999999999999</v>
      </c>
    </row>
    <row r="49" spans="1:5" x14ac:dyDescent="0.25">
      <c r="A49" t="s">
        <v>1926</v>
      </c>
      <c r="B49" s="1" t="str">
        <f>HYPERLINK("http://www.ncbi.nlm.nih.gov/pubmed/?term=Cyr61", "Cyr61")</f>
        <v>Cyr61</v>
      </c>
      <c r="C49" s="10">
        <v>5.7919999999999998</v>
      </c>
      <c r="D49" s="7">
        <v>7.1210000000000004</v>
      </c>
      <c r="E49" s="8">
        <v>4.1890000000000001</v>
      </c>
    </row>
    <row r="50" spans="1:5" x14ac:dyDescent="0.25">
      <c r="A50" t="s">
        <v>1858</v>
      </c>
      <c r="B50" s="1" t="str">
        <f>HYPERLINK("http://www.ncbi.nlm.nih.gov/pubmed/?term=Hspa1a", "Hspa1a")</f>
        <v>Hspa1a</v>
      </c>
      <c r="C50" s="8">
        <v>4.4249999999999998</v>
      </c>
      <c r="D50" s="2">
        <v>6.9690000000000003</v>
      </c>
      <c r="E50" s="10">
        <v>5.39</v>
      </c>
    </row>
    <row r="51" spans="1:5" x14ac:dyDescent="0.25">
      <c r="A51" t="s">
        <v>197</v>
      </c>
      <c r="B51" s="1" t="str">
        <f>HYPERLINK("http://www.ncbi.nlm.nih.gov/pubmed/?term=Mctp1", "Mctp1")</f>
        <v>Mctp1</v>
      </c>
      <c r="C51" s="12">
        <v>-1.617</v>
      </c>
      <c r="D51" s="2">
        <v>6.484</v>
      </c>
      <c r="E51" s="18">
        <v>3.298</v>
      </c>
    </row>
    <row r="52" spans="1:5" x14ac:dyDescent="0.25">
      <c r="A52" t="s">
        <v>84</v>
      </c>
      <c r="B52" s="1" t="str">
        <f>HYPERLINK("http://www.ncbi.nlm.nih.gov/pubmed/?term=Gnb3", "Gnb3")</f>
        <v>Gnb3</v>
      </c>
      <c r="C52" s="12">
        <v>-0.22109999999999999</v>
      </c>
      <c r="D52" s="2">
        <v>6.5270000000000001</v>
      </c>
      <c r="E52" s="18">
        <v>3.6469999999999998</v>
      </c>
    </row>
    <row r="53" spans="1:5" x14ac:dyDescent="0.25">
      <c r="A53" t="s">
        <v>1007</v>
      </c>
      <c r="B53" s="1" t="str">
        <f>HYPERLINK("http://www.ncbi.nlm.nih.gov/pubmed/?term=Emp2", "Emp2")</f>
        <v>Emp2</v>
      </c>
      <c r="C53" s="16">
        <v>2.4409999999999998</v>
      </c>
      <c r="D53" s="2">
        <v>6.4710000000000001</v>
      </c>
      <c r="E53" s="18">
        <v>3.5259999999999998</v>
      </c>
    </row>
    <row r="54" spans="1:5" x14ac:dyDescent="0.25">
      <c r="A54" t="s">
        <v>1351</v>
      </c>
      <c r="B54" s="1" t="str">
        <f>HYPERLINK("http://www.ncbi.nlm.nih.gov/pubmed/?term=Cyp2f2", "Cyp2f2")</f>
        <v>Cyp2f2</v>
      </c>
      <c r="C54" s="12">
        <v>-1.78</v>
      </c>
      <c r="D54" s="2">
        <v>6.0750000000000002</v>
      </c>
      <c r="E54" s="6">
        <v>1.833</v>
      </c>
    </row>
    <row r="55" spans="1:5" x14ac:dyDescent="0.25">
      <c r="A55" t="s">
        <v>447</v>
      </c>
      <c r="B55" s="1" t="str">
        <f>HYPERLINK("http://www.ncbi.nlm.nih.gov/pubmed/?term=Ly6d", "Ly6d")</f>
        <v>Ly6d</v>
      </c>
      <c r="C55" s="18">
        <v>3.4089999999999998</v>
      </c>
      <c r="D55" s="2">
        <v>6.89</v>
      </c>
      <c r="E55" s="10">
        <v>5.41</v>
      </c>
    </row>
    <row r="56" spans="1:5" x14ac:dyDescent="0.25">
      <c r="A56" t="s">
        <v>913</v>
      </c>
      <c r="B56" s="1" t="str">
        <f>HYPERLINK("http://www.ncbi.nlm.nih.gov/pubmed/?term=Plk2", "Plk2")</f>
        <v>Plk2</v>
      </c>
      <c r="C56" s="16">
        <v>2.4980000000000002</v>
      </c>
      <c r="D56" s="2">
        <v>6.2130000000000001</v>
      </c>
      <c r="E56" s="16">
        <v>2.4390000000000001</v>
      </c>
    </row>
    <row r="57" spans="1:5" x14ac:dyDescent="0.25">
      <c r="A57" t="s">
        <v>295</v>
      </c>
      <c r="B57" s="1" t="str">
        <f>HYPERLINK("http://www.ncbi.nlm.nih.gov/pubmed/?term=Gng13", "Gng13")</f>
        <v>Gng13</v>
      </c>
      <c r="C57" s="12">
        <v>-3.1030000000000002</v>
      </c>
      <c r="D57" s="2">
        <v>6.657</v>
      </c>
      <c r="E57" s="8">
        <v>4.4180000000000001</v>
      </c>
    </row>
    <row r="58" spans="1:5" x14ac:dyDescent="0.25">
      <c r="A58" t="s">
        <v>726</v>
      </c>
      <c r="B58" s="1" t="str">
        <f>HYPERLINK("http://www.ncbi.nlm.nih.gov/pubmed/?term=Hck", "Hck")</f>
        <v>Hck</v>
      </c>
      <c r="C58" s="12">
        <v>-2.6360000000000001</v>
      </c>
      <c r="D58" s="10">
        <v>5.8220000000000001</v>
      </c>
      <c r="E58" s="12">
        <v>0.92500000000000004</v>
      </c>
    </row>
    <row r="59" spans="1:5" x14ac:dyDescent="0.25">
      <c r="A59" t="s">
        <v>37</v>
      </c>
      <c r="B59" s="1" t="str">
        <f>HYPERLINK("http://www.ncbi.nlm.nih.gov/pubmed/?term=Dusp1", "Dusp1")</f>
        <v>Dusp1</v>
      </c>
      <c r="C59" s="10">
        <v>5.1520000000000001</v>
      </c>
      <c r="D59" s="2">
        <v>6.9429999999999996</v>
      </c>
      <c r="E59" s="10">
        <v>5.7969999999999997</v>
      </c>
    </row>
    <row r="60" spans="1:5" x14ac:dyDescent="0.25">
      <c r="A60" t="s">
        <v>1149</v>
      </c>
      <c r="B60" s="1" t="str">
        <f>HYPERLINK("http://www.ncbi.nlm.nih.gov/pubmed/?term=Plcb2", "Plcb2")</f>
        <v>Plcb2</v>
      </c>
      <c r="C60" s="12">
        <v>-0.58730000000000004</v>
      </c>
      <c r="D60" s="2">
        <v>6.1760000000000002</v>
      </c>
      <c r="E60" s="16">
        <v>2.665</v>
      </c>
    </row>
    <row r="61" spans="1:5" x14ac:dyDescent="0.25">
      <c r="A61" t="s">
        <v>314</v>
      </c>
      <c r="B61" s="1" t="str">
        <f>HYPERLINK("http://www.ncbi.nlm.nih.gov/pubmed/?term=Id2", "Id2")</f>
        <v>Id2</v>
      </c>
      <c r="C61" s="6">
        <v>1.9770000000000001</v>
      </c>
      <c r="D61" s="2">
        <v>6.3029999999999999</v>
      </c>
      <c r="E61" s="18">
        <v>3.2709999999999999</v>
      </c>
    </row>
    <row r="62" spans="1:5" x14ac:dyDescent="0.25">
      <c r="A62" t="s">
        <v>1113</v>
      </c>
      <c r="B62" s="1" t="str">
        <f>HYPERLINK("http://www.ncbi.nlm.nih.gov/pubmed/?term=Krt19", "Krt19")</f>
        <v>Krt19</v>
      </c>
      <c r="C62" s="12">
        <v>-0.4834</v>
      </c>
      <c r="D62" s="2">
        <v>6.1120000000000001</v>
      </c>
      <c r="E62" s="16">
        <v>2.4910000000000001</v>
      </c>
    </row>
    <row r="63" spans="1:5" x14ac:dyDescent="0.25">
      <c r="A63" t="s">
        <v>1999</v>
      </c>
      <c r="B63" s="1" t="str">
        <f>HYPERLINK("http://www.ncbi.nlm.nih.gov/pubmed/?term=Pglyrp1", "Pglyrp1")</f>
        <v>Pglyrp1</v>
      </c>
      <c r="C63" s="12">
        <v>0.40589999999999998</v>
      </c>
      <c r="D63" s="2">
        <v>6.7119999999999997</v>
      </c>
      <c r="E63" s="10">
        <v>5.1139999999999999</v>
      </c>
    </row>
    <row r="64" spans="1:5" x14ac:dyDescent="0.25">
      <c r="A64" t="s">
        <v>335</v>
      </c>
      <c r="B64" s="1" t="str">
        <f>HYPERLINK("http://www.ncbi.nlm.nih.gov/pubmed/?term=Htra1", "Htra1")</f>
        <v>Htra1</v>
      </c>
      <c r="C64" s="16">
        <v>2.0990000000000002</v>
      </c>
      <c r="D64" s="2">
        <v>6.5750000000000002</v>
      </c>
      <c r="E64" s="8">
        <v>4.6189999999999998</v>
      </c>
    </row>
    <row r="65" spans="1:5" x14ac:dyDescent="0.25">
      <c r="A65" t="s">
        <v>520</v>
      </c>
      <c r="B65" s="1" t="str">
        <f>HYPERLINK("http://www.ncbi.nlm.nih.gov/pubmed/?term=Rgs4", "Rgs4")</f>
        <v>Rgs4</v>
      </c>
      <c r="C65" s="6">
        <v>1.774</v>
      </c>
      <c r="D65" s="2">
        <v>6.319</v>
      </c>
      <c r="E65" s="18">
        <v>3.536</v>
      </c>
    </row>
    <row r="66" spans="1:5" x14ac:dyDescent="0.25">
      <c r="A66" t="s">
        <v>353</v>
      </c>
      <c r="B66" s="1" t="str">
        <f>HYPERLINK("http://www.ncbi.nlm.nih.gov/pubmed/?term=C1s", "C1s")</f>
        <v>C1s</v>
      </c>
      <c r="C66" s="16">
        <v>2.6829999999999998</v>
      </c>
      <c r="D66" s="2">
        <v>6.109</v>
      </c>
      <c r="E66" s="6">
        <v>1.0489999999999999</v>
      </c>
    </row>
    <row r="67" spans="1:5" x14ac:dyDescent="0.25">
      <c r="A67" t="s">
        <v>764</v>
      </c>
      <c r="B67" s="1" t="str">
        <f>HYPERLINK("http://www.ncbi.nlm.nih.gov/pubmed/?term=Dapl1", "Dapl1")</f>
        <v>Dapl1</v>
      </c>
      <c r="C67" s="12">
        <v>0.23200000000000001</v>
      </c>
      <c r="D67" s="2">
        <v>6.7009999999999996</v>
      </c>
      <c r="E67" s="10">
        <v>5.2930000000000001</v>
      </c>
    </row>
    <row r="68" spans="1:5" x14ac:dyDescent="0.25">
      <c r="A68" t="s">
        <v>462</v>
      </c>
      <c r="B68" s="1" t="str">
        <f>HYPERLINK("http://www.ncbi.nlm.nih.gov/pubmed/?term=Alox5", "Alox5")</f>
        <v>Alox5</v>
      </c>
      <c r="C68" s="12">
        <v>-2.1240000000000001</v>
      </c>
      <c r="D68" s="2">
        <v>6.1740000000000004</v>
      </c>
      <c r="E68" s="18">
        <v>3.056</v>
      </c>
    </row>
    <row r="69" spans="1:5" x14ac:dyDescent="0.25">
      <c r="A69" t="s">
        <v>1044</v>
      </c>
      <c r="B69" s="1" t="str">
        <f>HYPERLINK("http://www.ncbi.nlm.nih.gov/pubmed/?term=Lgals1", "Lgals1")</f>
        <v>Lgals1</v>
      </c>
      <c r="C69" s="10">
        <v>5.5890000000000004</v>
      </c>
      <c r="D69" s="2">
        <v>6.7380000000000004</v>
      </c>
      <c r="E69" s="8">
        <v>4.6689999999999996</v>
      </c>
    </row>
    <row r="70" spans="1:5" x14ac:dyDescent="0.25">
      <c r="A70" t="s">
        <v>862</v>
      </c>
      <c r="B70" s="1" t="str">
        <f>HYPERLINK("http://www.ncbi.nlm.nih.gov/pubmed/?term=Pdlim3", "Pdlim3")</f>
        <v>Pdlim3</v>
      </c>
      <c r="C70" s="16">
        <v>2.3069999999999999</v>
      </c>
      <c r="D70" s="2">
        <v>6.274</v>
      </c>
      <c r="E70" s="18">
        <v>3.617</v>
      </c>
    </row>
    <row r="71" spans="1:5" x14ac:dyDescent="0.25">
      <c r="A71" t="s">
        <v>717</v>
      </c>
      <c r="B71" s="1" t="str">
        <f>HYPERLINK("http://www.ncbi.nlm.nih.gov/pubmed/?term=Bmx", "Bmx")</f>
        <v>Bmx</v>
      </c>
      <c r="C71" s="12">
        <v>-2.5369999999999999</v>
      </c>
      <c r="D71" s="10">
        <v>5.9089999999999998</v>
      </c>
      <c r="E71" s="16">
        <v>2.093</v>
      </c>
    </row>
    <row r="72" spans="1:5" x14ac:dyDescent="0.25">
      <c r="A72" t="s">
        <v>617</v>
      </c>
      <c r="B72" s="1" t="str">
        <f>HYPERLINK("http://www.ncbi.nlm.nih.gov/pubmed/?term=Sh2d7", "Sh2d7")</f>
        <v>Sh2d7</v>
      </c>
      <c r="C72" s="12">
        <v>-3.1219999999999999</v>
      </c>
      <c r="D72" s="10">
        <v>5.827</v>
      </c>
      <c r="E72" s="6">
        <v>1.802</v>
      </c>
    </row>
    <row r="73" spans="1:5" x14ac:dyDescent="0.25">
      <c r="A73" t="s">
        <v>1478</v>
      </c>
      <c r="B73" s="1" t="str">
        <f>HYPERLINK("http://www.ncbi.nlm.nih.gov/pubmed/?term=Id1", "Id1")</f>
        <v>Id1</v>
      </c>
      <c r="C73" s="16">
        <v>2.5590000000000002</v>
      </c>
      <c r="D73" s="10">
        <v>5.9909999999999997</v>
      </c>
      <c r="E73" s="6">
        <v>1.617</v>
      </c>
    </row>
    <row r="74" spans="1:5" x14ac:dyDescent="0.25">
      <c r="A74" t="s">
        <v>141</v>
      </c>
      <c r="B74" s="1" t="str">
        <f>HYPERLINK("http://www.ncbi.nlm.nih.gov/pubmed/?term=Map1lc3a", "Map1lc3a")</f>
        <v>Map1lc3a</v>
      </c>
      <c r="C74" s="8">
        <v>4.4740000000000002</v>
      </c>
      <c r="D74" s="2">
        <v>6.5960000000000001</v>
      </c>
      <c r="E74" s="10">
        <v>5.4219999999999997</v>
      </c>
    </row>
    <row r="75" spans="1:5" x14ac:dyDescent="0.25">
      <c r="A75" t="s">
        <v>1557</v>
      </c>
      <c r="B75" s="1" t="str">
        <f>HYPERLINK("http://www.ncbi.nlm.nih.gov/pubmed/?term=Dgkz", "Dgkz")</f>
        <v>Dgkz</v>
      </c>
      <c r="C75" s="8">
        <v>4.117</v>
      </c>
      <c r="D75" s="2">
        <v>6.32</v>
      </c>
      <c r="E75" s="8">
        <v>4.5229999999999997</v>
      </c>
    </row>
    <row r="76" spans="1:5" x14ac:dyDescent="0.25">
      <c r="A76" t="s">
        <v>1318</v>
      </c>
      <c r="B76" s="1" t="str">
        <f>HYPERLINK("http://www.ncbi.nlm.nih.gov/pubmed/?term=Fxyd3", "Fxyd3")</f>
        <v>Fxyd3</v>
      </c>
      <c r="C76" s="8">
        <v>4.1820000000000004</v>
      </c>
      <c r="D76" s="2">
        <v>6.2190000000000003</v>
      </c>
      <c r="E76" s="18">
        <v>3.6579999999999999</v>
      </c>
    </row>
    <row r="77" spans="1:5" x14ac:dyDescent="0.25">
      <c r="A77" t="s">
        <v>1973</v>
      </c>
      <c r="B77" s="1" t="str">
        <f>HYPERLINK("http://www.ncbi.nlm.nih.gov/pubmed/?term=Mill1", "Mill1")</f>
        <v>Mill1</v>
      </c>
      <c r="C77" s="12">
        <v>-1.8440000000000001</v>
      </c>
      <c r="D77" s="10">
        <v>5.4329999999999998</v>
      </c>
      <c r="E77" s="12">
        <v>0.80810000000000004</v>
      </c>
    </row>
    <row r="78" spans="1:5" x14ac:dyDescent="0.25">
      <c r="A78" t="s">
        <v>1147</v>
      </c>
      <c r="B78" s="1" t="str">
        <f>HYPERLINK("http://www.ncbi.nlm.nih.gov/pubmed/?term=Lamc2", "Lamc2")</f>
        <v>Lamc2</v>
      </c>
      <c r="C78" s="8">
        <v>4.9720000000000004</v>
      </c>
      <c r="D78" s="2">
        <v>6.375</v>
      </c>
      <c r="E78" s="8">
        <v>4.8499999999999996</v>
      </c>
    </row>
    <row r="79" spans="1:5" x14ac:dyDescent="0.25">
      <c r="A79" t="s">
        <v>1263</v>
      </c>
      <c r="B79" s="1" t="str">
        <f>HYPERLINK("http://www.ncbi.nlm.nih.gov/pubmed/?term=Pik3r5", "Pik3r5")</f>
        <v>Pik3r5</v>
      </c>
      <c r="C79" s="12">
        <v>0.53520000000000001</v>
      </c>
      <c r="D79" s="10">
        <v>5.8090000000000002</v>
      </c>
      <c r="E79" s="16">
        <v>2.5489999999999999</v>
      </c>
    </row>
    <row r="80" spans="1:5" x14ac:dyDescent="0.25">
      <c r="A80" t="s">
        <v>392</v>
      </c>
      <c r="B80" s="1" t="str">
        <f>HYPERLINK("http://www.ncbi.nlm.nih.gov/pubmed/?term=Tspan6", "Tspan6")</f>
        <v>Tspan6</v>
      </c>
      <c r="C80" s="18">
        <v>3.1309999999999998</v>
      </c>
      <c r="D80" s="10">
        <v>5.93</v>
      </c>
      <c r="E80" s="6">
        <v>1.4179999999999999</v>
      </c>
    </row>
    <row r="81" spans="1:5" x14ac:dyDescent="0.25">
      <c r="A81" t="s">
        <v>222</v>
      </c>
      <c r="B81" s="1" t="str">
        <f>HYPERLINK("http://www.ncbi.nlm.nih.gov/pubmed/?term=Zbp1", "Zbp1")</f>
        <v>Zbp1</v>
      </c>
      <c r="C81" s="8">
        <v>4.4560000000000004</v>
      </c>
      <c r="D81" s="2">
        <v>6.2370000000000001</v>
      </c>
      <c r="E81" s="8">
        <v>4.5890000000000004</v>
      </c>
    </row>
    <row r="82" spans="1:5" x14ac:dyDescent="0.25">
      <c r="A82" t="s">
        <v>438</v>
      </c>
      <c r="B82" s="1" t="str">
        <f>HYPERLINK("http://www.ncbi.nlm.nih.gov/pubmed/?term=Abhd2", "Abhd2")</f>
        <v>Abhd2</v>
      </c>
      <c r="C82" s="8">
        <v>4.0599999999999996</v>
      </c>
      <c r="D82" s="2">
        <v>6.3959999999999999</v>
      </c>
      <c r="E82" s="10">
        <v>5.3639999999999999</v>
      </c>
    </row>
    <row r="83" spans="1:5" x14ac:dyDescent="0.25">
      <c r="A83" t="s">
        <v>163</v>
      </c>
      <c r="B83" s="1" t="str">
        <f>HYPERLINK("http://www.ncbi.nlm.nih.gov/pubmed/?term=Nrbp2", "Nrbp2")</f>
        <v>Nrbp2</v>
      </c>
      <c r="C83" s="8">
        <v>4.2229999999999999</v>
      </c>
      <c r="D83" s="2">
        <v>6.1239999999999997</v>
      </c>
      <c r="E83" s="16">
        <v>2.7919999999999998</v>
      </c>
    </row>
    <row r="84" spans="1:5" x14ac:dyDescent="0.25">
      <c r="A84" t="s">
        <v>564</v>
      </c>
      <c r="B84" s="1" t="str">
        <f>HYPERLINK("http://www.ncbi.nlm.nih.gov/pubmed/?term=Pthlh", "Pthlh")</f>
        <v>Pthlh</v>
      </c>
      <c r="C84" s="6">
        <v>1.57</v>
      </c>
      <c r="D84" s="10">
        <v>5.6859999999999999</v>
      </c>
      <c r="E84" s="16">
        <v>2.3439999999999999</v>
      </c>
    </row>
    <row r="85" spans="1:5" x14ac:dyDescent="0.25">
      <c r="A85" t="s">
        <v>1718</v>
      </c>
      <c r="B85" s="1" t="str">
        <f>HYPERLINK("http://www.ncbi.nlm.nih.gov/pubmed/?term=Krt10", "Krt10")</f>
        <v>Krt10</v>
      </c>
      <c r="C85" s="6">
        <v>1.657</v>
      </c>
      <c r="D85" s="2">
        <v>6.0919999999999996</v>
      </c>
      <c r="E85" s="8">
        <v>4.2210000000000001</v>
      </c>
    </row>
    <row r="86" spans="1:5" x14ac:dyDescent="0.25">
      <c r="A86" t="s">
        <v>1480</v>
      </c>
      <c r="B86" s="1" t="str">
        <f>HYPERLINK("http://www.ncbi.nlm.nih.gov/pubmed/?term=Fxyd6", "Fxyd6")</f>
        <v>Fxyd6</v>
      </c>
      <c r="C86" s="12">
        <v>0.7036</v>
      </c>
      <c r="D86" s="10">
        <v>5.4980000000000002</v>
      </c>
      <c r="E86" s="6">
        <v>1.675</v>
      </c>
    </row>
    <row r="87" spans="1:5" x14ac:dyDescent="0.25">
      <c r="A87" t="s">
        <v>36</v>
      </c>
      <c r="B87" s="1" t="str">
        <f>HYPERLINK("http://www.ncbi.nlm.nih.gov/pubmed/?term=Vav1", "Vav1")</f>
        <v>Vav1</v>
      </c>
      <c r="C87" s="6">
        <v>1.986</v>
      </c>
      <c r="D87" s="10">
        <v>5.7009999999999996</v>
      </c>
      <c r="E87" s="16">
        <v>2.6230000000000002</v>
      </c>
    </row>
    <row r="88" spans="1:5" x14ac:dyDescent="0.25">
      <c r="A88" t="s">
        <v>1538</v>
      </c>
      <c r="B88" s="1" t="str">
        <f>HYPERLINK("http://www.ncbi.nlm.nih.gov/pubmed/?term=Clca4", "Clca4")</f>
        <v>Clca4</v>
      </c>
      <c r="C88" s="12">
        <v>-3.024</v>
      </c>
      <c r="D88" s="2">
        <v>6.1070000000000002</v>
      </c>
      <c r="E88" s="8">
        <v>4.4989999999999997</v>
      </c>
    </row>
    <row r="89" spans="1:5" x14ac:dyDescent="0.25">
      <c r="A89" t="s">
        <v>1362</v>
      </c>
      <c r="B89" s="1" t="str">
        <f>HYPERLINK("http://www.ncbi.nlm.nih.gov/pubmed/?term=Sult5a1", "Sult5a1")</f>
        <v>Sult5a1</v>
      </c>
      <c r="C89" s="6">
        <v>1.129</v>
      </c>
      <c r="D89" s="10">
        <v>5.4950000000000001</v>
      </c>
      <c r="E89" s="6">
        <v>1.9630000000000001</v>
      </c>
    </row>
    <row r="90" spans="1:5" x14ac:dyDescent="0.25">
      <c r="A90" t="s">
        <v>169</v>
      </c>
      <c r="B90" s="1" t="str">
        <f>HYPERLINK("http://www.ncbi.nlm.nih.gov/pubmed/?term=Wfdc2", "Wfdc2")</f>
        <v>Wfdc2</v>
      </c>
      <c r="C90" s="8">
        <v>4.7210000000000001</v>
      </c>
      <c r="D90" s="2">
        <v>6.2009999999999996</v>
      </c>
      <c r="E90" s="10">
        <v>5.0339999999999998</v>
      </c>
    </row>
    <row r="91" spans="1:5" x14ac:dyDescent="0.25">
      <c r="A91" t="s">
        <v>1639</v>
      </c>
      <c r="B91" s="1" t="str">
        <f>HYPERLINK("http://www.ncbi.nlm.nih.gov/pubmed/?term=Id3", "Id3")</f>
        <v>Id3</v>
      </c>
      <c r="C91" s="18">
        <v>3.3559999999999999</v>
      </c>
      <c r="D91" s="10">
        <v>5.8019999999999996</v>
      </c>
      <c r="E91" s="16">
        <v>2.9780000000000002</v>
      </c>
    </row>
    <row r="92" spans="1:5" x14ac:dyDescent="0.25">
      <c r="A92" t="s">
        <v>1525</v>
      </c>
      <c r="B92" s="1" t="str">
        <f>HYPERLINK("http://www.ncbi.nlm.nih.gov/pubmed/?term=Hepacam2", "Hepacam2")</f>
        <v>Hepacam2</v>
      </c>
      <c r="C92" s="12">
        <v>-2.8580000000000001</v>
      </c>
      <c r="D92" s="10">
        <v>5.367</v>
      </c>
      <c r="E92" s="6">
        <v>1.48</v>
      </c>
    </row>
    <row r="93" spans="1:5" x14ac:dyDescent="0.25">
      <c r="A93" t="s">
        <v>1063</v>
      </c>
      <c r="B93" s="1" t="str">
        <f>HYPERLINK("http://www.ncbi.nlm.nih.gov/pubmed/?term=Ddit4", "Ddit4")</f>
        <v>Ddit4</v>
      </c>
      <c r="C93" s="8">
        <v>4.37</v>
      </c>
      <c r="D93" s="2">
        <v>6.1909999999999998</v>
      </c>
      <c r="E93" s="10">
        <v>5.0670000000000002</v>
      </c>
    </row>
    <row r="94" spans="1:5" x14ac:dyDescent="0.25">
      <c r="A94" t="s">
        <v>1567</v>
      </c>
      <c r="B94" s="1" t="str">
        <f>HYPERLINK("http://www.ncbi.nlm.nih.gov/pubmed/?term=Rrad", "Rrad")</f>
        <v>Rrad</v>
      </c>
      <c r="C94" s="18">
        <v>3.4910000000000001</v>
      </c>
      <c r="D94" s="2">
        <v>6.0030000000000001</v>
      </c>
      <c r="E94" s="8">
        <v>4.359</v>
      </c>
    </row>
    <row r="95" spans="1:5" x14ac:dyDescent="0.25">
      <c r="A95" t="s">
        <v>1348</v>
      </c>
      <c r="B95" s="1" t="str">
        <f>HYPERLINK("http://www.ncbi.nlm.nih.gov/pubmed/?term=Chi3l1", "Chi3l1")</f>
        <v>Chi3l1</v>
      </c>
      <c r="C95" s="12">
        <v>-0.66190000000000004</v>
      </c>
      <c r="D95" s="10">
        <v>5.992</v>
      </c>
      <c r="E95" s="8">
        <v>4.3259999999999996</v>
      </c>
    </row>
    <row r="96" spans="1:5" x14ac:dyDescent="0.25">
      <c r="A96" t="s">
        <v>1606</v>
      </c>
      <c r="B96" s="1" t="str">
        <f>HYPERLINK("http://www.ncbi.nlm.nih.gov/pubmed/?term=Ehf", "Ehf")</f>
        <v>Ehf</v>
      </c>
      <c r="C96" s="12">
        <v>-0.36270000000000002</v>
      </c>
      <c r="D96" s="2">
        <v>6.1829999999999998</v>
      </c>
      <c r="E96" s="10">
        <v>5.1779999999999999</v>
      </c>
    </row>
    <row r="97" spans="1:5" x14ac:dyDescent="0.25">
      <c r="A97" t="s">
        <v>2054</v>
      </c>
      <c r="B97" s="1" t="str">
        <f>HYPERLINK("http://www.ncbi.nlm.nih.gov/pubmed/?term=Tspan1", "Tspan1")</f>
        <v>Tspan1</v>
      </c>
      <c r="C97" s="12">
        <v>-1.7330000000000001</v>
      </c>
      <c r="D97" s="10">
        <v>5.7869999999999999</v>
      </c>
      <c r="E97" s="18">
        <v>3.5030000000000001</v>
      </c>
    </row>
    <row r="98" spans="1:5" x14ac:dyDescent="0.25">
      <c r="A98" t="s">
        <v>1891</v>
      </c>
      <c r="B98" s="1" t="str">
        <f>HYPERLINK("http://www.ncbi.nlm.nih.gov/pubmed/?term=Rassf6", "Rassf6")</f>
        <v>Rassf6</v>
      </c>
      <c r="C98" s="18">
        <v>3.7519999999999998</v>
      </c>
      <c r="D98" s="2">
        <v>6.1379999999999999</v>
      </c>
      <c r="E98" s="10">
        <v>5.0979999999999999</v>
      </c>
    </row>
    <row r="99" spans="1:5" x14ac:dyDescent="0.25">
      <c r="A99" t="s">
        <v>2000</v>
      </c>
      <c r="B99" s="1" t="str">
        <f>HYPERLINK("http://www.ncbi.nlm.nih.gov/pubmed/?term=Dpysl3", "Dpysl3")</f>
        <v>Dpysl3</v>
      </c>
      <c r="C99" s="18">
        <v>3.956</v>
      </c>
      <c r="D99" s="10">
        <v>5.9509999999999996</v>
      </c>
      <c r="E99" s="8">
        <v>4.3339999999999996</v>
      </c>
    </row>
    <row r="100" spans="1:5" x14ac:dyDescent="0.25">
      <c r="A100" t="s">
        <v>1202</v>
      </c>
      <c r="B100" s="1" t="str">
        <f>HYPERLINK("http://www.ncbi.nlm.nih.gov/pubmed/?term=Cd177", "Cd177")</f>
        <v>Cd177</v>
      </c>
      <c r="C100" s="12">
        <v>-4.3860000000000001</v>
      </c>
      <c r="D100" s="10">
        <v>5.5279999999999996</v>
      </c>
      <c r="E100" s="16">
        <v>2.5390000000000001</v>
      </c>
    </row>
    <row r="101" spans="1:5" x14ac:dyDescent="0.25">
      <c r="A101" t="s">
        <v>2018</v>
      </c>
      <c r="B101" s="1" t="str">
        <f>HYPERLINK("http://www.ncbi.nlm.nih.gov/pubmed/?term=Ptpn18", "Ptpn18")</f>
        <v>Ptpn18</v>
      </c>
      <c r="C101" s="12">
        <v>0.47489999999999999</v>
      </c>
      <c r="D101" s="10">
        <v>5.6420000000000003</v>
      </c>
      <c r="E101" s="18">
        <v>3.0819999999999999</v>
      </c>
    </row>
    <row r="102" spans="1:5" x14ac:dyDescent="0.25">
      <c r="A102" t="s">
        <v>181</v>
      </c>
      <c r="B102" s="1" t="str">
        <f>HYPERLINK("http://www.ncbi.nlm.nih.gov/pubmed/?term=Cited2", "Cited2")</f>
        <v>Cited2</v>
      </c>
      <c r="C102" s="18">
        <v>3.1629999999999998</v>
      </c>
      <c r="D102" s="10">
        <v>5.8570000000000002</v>
      </c>
      <c r="E102" s="8">
        <v>4.0220000000000002</v>
      </c>
    </row>
    <row r="103" spans="1:5" x14ac:dyDescent="0.25">
      <c r="A103" t="s">
        <v>1160</v>
      </c>
      <c r="B103" s="1" t="str">
        <f>HYPERLINK("http://www.ncbi.nlm.nih.gov/pubmed/?term=Reep5", "Reep5")</f>
        <v>Reep5</v>
      </c>
      <c r="C103" s="10">
        <v>5.0469999999999997</v>
      </c>
      <c r="D103" s="2">
        <v>6.0890000000000004</v>
      </c>
      <c r="E103" s="8">
        <v>4.8579999999999997</v>
      </c>
    </row>
    <row r="104" spans="1:5" x14ac:dyDescent="0.25">
      <c r="A104" t="s">
        <v>185</v>
      </c>
      <c r="B104" s="1" t="str">
        <f>HYPERLINK("http://www.ncbi.nlm.nih.gov/pubmed/?term=Itfg3", "Itfg3")</f>
        <v>Itfg3</v>
      </c>
      <c r="C104" s="18">
        <v>3.6520000000000001</v>
      </c>
      <c r="D104" s="10">
        <v>5.891</v>
      </c>
      <c r="E104" s="8">
        <v>4.2489999999999997</v>
      </c>
    </row>
    <row r="105" spans="1:5" x14ac:dyDescent="0.25">
      <c r="A105" t="s">
        <v>1651</v>
      </c>
      <c r="B105" s="1" t="str">
        <f>HYPERLINK("http://www.ncbi.nlm.nih.gov/pubmed/?term=Gas1", "Gas1")</f>
        <v>Gas1</v>
      </c>
      <c r="C105" s="18">
        <v>3.1309999999999998</v>
      </c>
      <c r="D105" s="10">
        <v>5.6289999999999996</v>
      </c>
      <c r="E105" s="12">
        <v>0.67259999999999998</v>
      </c>
    </row>
    <row r="106" spans="1:5" x14ac:dyDescent="0.25">
      <c r="A106" t="s">
        <v>403</v>
      </c>
      <c r="B106" s="1" t="str">
        <f>HYPERLINK("http://www.ncbi.nlm.nih.gov/pubmed/?term=Tacstd2", "Tacstd2")</f>
        <v>Tacstd2</v>
      </c>
      <c r="C106" s="12">
        <v>-0.48039999999999999</v>
      </c>
      <c r="D106" s="10">
        <v>5.9</v>
      </c>
      <c r="E106" s="8">
        <v>4.33</v>
      </c>
    </row>
    <row r="107" spans="1:5" x14ac:dyDescent="0.25">
      <c r="A107" t="s">
        <v>1803</v>
      </c>
      <c r="B107" s="1" t="str">
        <f>HYPERLINK("http://www.ncbi.nlm.nih.gov/pubmed/?term=Myl9", "Myl9")</f>
        <v>Myl9</v>
      </c>
      <c r="C107" s="18">
        <v>3.7309999999999999</v>
      </c>
      <c r="D107" s="10">
        <v>5.7539999999999996</v>
      </c>
      <c r="E107" s="12">
        <v>0.61119999999999997</v>
      </c>
    </row>
    <row r="108" spans="1:5" x14ac:dyDescent="0.25">
      <c r="A108" t="s">
        <v>251</v>
      </c>
      <c r="B108" s="1" t="str">
        <f>HYPERLINK("http://www.ncbi.nlm.nih.gov/pubmed/?term=Rgs2", "Rgs2")</f>
        <v>Rgs2</v>
      </c>
      <c r="C108" s="16">
        <v>2.0750000000000002</v>
      </c>
      <c r="D108" s="10">
        <v>5.4809999999999999</v>
      </c>
      <c r="E108" s="16">
        <v>2.585</v>
      </c>
    </row>
    <row r="109" spans="1:5" x14ac:dyDescent="0.25">
      <c r="A109" t="s">
        <v>123</v>
      </c>
      <c r="B109" s="1" t="str">
        <f>HYPERLINK("http://www.ncbi.nlm.nih.gov/pubmed/?term=Mpzl2", "Mpzl2")</f>
        <v>Mpzl2</v>
      </c>
      <c r="C109" s="16">
        <v>2.141</v>
      </c>
      <c r="D109" s="10">
        <v>5.351</v>
      </c>
      <c r="E109" s="16">
        <v>2.1190000000000002</v>
      </c>
    </row>
    <row r="110" spans="1:5" x14ac:dyDescent="0.25">
      <c r="A110" t="s">
        <v>892</v>
      </c>
      <c r="B110" s="1" t="str">
        <f>HYPERLINK("http://www.ncbi.nlm.nih.gov/pubmed/?term=Fbxo32", "Fbxo32")</f>
        <v>Fbxo32</v>
      </c>
      <c r="C110" s="18">
        <v>3.7749999999999999</v>
      </c>
      <c r="D110" s="10">
        <v>5.726</v>
      </c>
      <c r="E110" s="18">
        <v>3.3980000000000001</v>
      </c>
    </row>
    <row r="111" spans="1:5" x14ac:dyDescent="0.25">
      <c r="A111" t="s">
        <v>804</v>
      </c>
      <c r="B111" s="1" t="str">
        <f>HYPERLINK("http://www.ncbi.nlm.nih.gov/pubmed/?term=Ch25h", "Ch25h")</f>
        <v>Ch25h</v>
      </c>
      <c r="C111" s="6">
        <v>1.4370000000000001</v>
      </c>
      <c r="D111" s="10">
        <v>5.1609999999999996</v>
      </c>
      <c r="E111" s="6">
        <v>1.365</v>
      </c>
    </row>
    <row r="112" spans="1:5" x14ac:dyDescent="0.25">
      <c r="A112" t="s">
        <v>835</v>
      </c>
      <c r="B112" s="1" t="str">
        <f>HYPERLINK("http://www.ncbi.nlm.nih.gov/pubmed/?term=Prkcdbp", "Prkcdbp")</f>
        <v>Prkcdbp</v>
      </c>
      <c r="C112" s="18">
        <v>3.0569999999999999</v>
      </c>
      <c r="D112" s="10">
        <v>5.5209999999999999</v>
      </c>
      <c r="E112" s="16">
        <v>2.87</v>
      </c>
    </row>
    <row r="113" spans="1:5" x14ac:dyDescent="0.25">
      <c r="A113" t="s">
        <v>558</v>
      </c>
      <c r="B113" s="1" t="str">
        <f>HYPERLINK("http://www.ncbi.nlm.nih.gov/pubmed/?term=Ccl20", "Ccl20")</f>
        <v>Ccl20</v>
      </c>
      <c r="C113" s="12">
        <v>-0.99019999999999997</v>
      </c>
      <c r="D113" s="10">
        <v>5.8730000000000002</v>
      </c>
      <c r="E113" s="8">
        <v>4.5999999999999996</v>
      </c>
    </row>
    <row r="114" spans="1:5" x14ac:dyDescent="0.25">
      <c r="A114" t="s">
        <v>2043</v>
      </c>
      <c r="B114" s="1" t="str">
        <f>HYPERLINK("http://www.ncbi.nlm.nih.gov/pubmed/?term=Pik3cg", "Pik3cg")</f>
        <v>Pik3cg</v>
      </c>
      <c r="C114" s="12">
        <v>-0.25159999999999999</v>
      </c>
      <c r="D114" s="8">
        <v>4.952</v>
      </c>
      <c r="E114" s="12">
        <v>0.69540000000000002</v>
      </c>
    </row>
    <row r="115" spans="1:5" x14ac:dyDescent="0.25">
      <c r="A115" t="s">
        <v>1868</v>
      </c>
      <c r="B115" s="1" t="str">
        <f>HYPERLINK("http://www.ncbi.nlm.nih.gov/pubmed/?term=Fyb", "Fyb")</f>
        <v>Fyb</v>
      </c>
      <c r="C115" s="16">
        <v>2.8620000000000001</v>
      </c>
      <c r="D115" s="10">
        <v>5.5140000000000002</v>
      </c>
      <c r="E115" s="18">
        <v>3.177</v>
      </c>
    </row>
    <row r="116" spans="1:5" x14ac:dyDescent="0.25">
      <c r="A116" t="s">
        <v>1153</v>
      </c>
      <c r="B116" s="1" t="str">
        <f>HYPERLINK("http://www.ncbi.nlm.nih.gov/pubmed/?term=Cxcl14", "Cxcl14")</f>
        <v>Cxcl14</v>
      </c>
      <c r="C116" s="12">
        <v>-3.0179999999999998</v>
      </c>
      <c r="D116" s="8">
        <v>4.8029999999999999</v>
      </c>
      <c r="E116" s="12">
        <v>0.13300000000000001</v>
      </c>
    </row>
    <row r="117" spans="1:5" x14ac:dyDescent="0.25">
      <c r="A117" t="s">
        <v>987</v>
      </c>
      <c r="B117" s="1" t="str">
        <f>HYPERLINK("http://www.ncbi.nlm.nih.gov/pubmed/?term=Tmc4", "Tmc4")</f>
        <v>Tmc4</v>
      </c>
      <c r="C117" s="8">
        <v>4.8310000000000004</v>
      </c>
      <c r="D117" s="10">
        <v>5.8879999999999999</v>
      </c>
      <c r="E117" s="8">
        <v>4.8659999999999997</v>
      </c>
    </row>
    <row r="118" spans="1:5" x14ac:dyDescent="0.25">
      <c r="A118" t="s">
        <v>1500</v>
      </c>
      <c r="B118" s="1" t="str">
        <f>HYPERLINK("http://www.ncbi.nlm.nih.gov/pubmed/?term=Gm94", "Gm94")</f>
        <v>Gm94</v>
      </c>
      <c r="C118" s="12">
        <v>-1.885</v>
      </c>
      <c r="D118" s="10">
        <v>5.4379999999999997</v>
      </c>
      <c r="E118" s="16">
        <v>2.9260000000000002</v>
      </c>
    </row>
    <row r="119" spans="1:5" x14ac:dyDescent="0.25">
      <c r="A119" t="s">
        <v>1847</v>
      </c>
      <c r="B119" s="1" t="str">
        <f>HYPERLINK("http://www.ncbi.nlm.nih.gov/pubmed/?term=Ptgfrn", "Ptgfrn")</f>
        <v>Ptgfrn</v>
      </c>
      <c r="C119" s="8">
        <v>4.13</v>
      </c>
      <c r="D119" s="10">
        <v>5.7089999999999996</v>
      </c>
      <c r="E119" s="18">
        <v>3.3370000000000002</v>
      </c>
    </row>
    <row r="120" spans="1:5" x14ac:dyDescent="0.25">
      <c r="A120" t="s">
        <v>527</v>
      </c>
      <c r="B120" s="1" t="str">
        <f>HYPERLINK("http://www.ncbi.nlm.nih.gov/pubmed/?term=Iapp", "Iapp")</f>
        <v>Iapp</v>
      </c>
      <c r="C120" s="12">
        <v>-0.67320000000000002</v>
      </c>
      <c r="D120" s="10">
        <v>5.2869999999999999</v>
      </c>
      <c r="E120" s="16">
        <v>2.3639999999999999</v>
      </c>
    </row>
    <row r="121" spans="1:5" x14ac:dyDescent="0.25">
      <c r="A121" t="s">
        <v>1144</v>
      </c>
      <c r="B121" s="1" t="str">
        <f>HYPERLINK("http://www.ncbi.nlm.nih.gov/pubmed/?term=H2-T22", "H2-T22")</f>
        <v>H2-T22</v>
      </c>
      <c r="C121" s="18">
        <v>3.6619999999999999</v>
      </c>
      <c r="D121" s="10">
        <v>5.7629999999999999</v>
      </c>
      <c r="E121" s="8">
        <v>4.4850000000000003</v>
      </c>
    </row>
    <row r="122" spans="1:5" x14ac:dyDescent="0.25">
      <c r="A122" t="s">
        <v>1941</v>
      </c>
      <c r="B122" s="1" t="str">
        <f>HYPERLINK("http://www.ncbi.nlm.nih.gov/pubmed/?term=Crp", "Crp")</f>
        <v>Crp</v>
      </c>
      <c r="C122" s="12">
        <v>-1.958</v>
      </c>
      <c r="D122" s="10">
        <v>5.3860000000000001</v>
      </c>
      <c r="E122" s="16">
        <v>2.92</v>
      </c>
    </row>
    <row r="123" spans="1:5" x14ac:dyDescent="0.25">
      <c r="A123" t="s">
        <v>891</v>
      </c>
      <c r="B123" s="1" t="str">
        <f>HYPERLINK("http://www.ncbi.nlm.nih.gov/pubmed/?term=Sdc1", "Sdc1")</f>
        <v>Sdc1</v>
      </c>
      <c r="C123" s="18">
        <v>3.887</v>
      </c>
      <c r="D123" s="10">
        <v>5.8079999999999998</v>
      </c>
      <c r="E123" s="8">
        <v>4.7480000000000002</v>
      </c>
    </row>
    <row r="124" spans="1:5" x14ac:dyDescent="0.25">
      <c r="A124" t="s">
        <v>1515</v>
      </c>
      <c r="B124" s="1" t="str">
        <f>HYPERLINK("http://www.ncbi.nlm.nih.gov/pubmed/?term=Rtp4", "Rtp4")</f>
        <v>Rtp4</v>
      </c>
      <c r="C124" s="8">
        <v>4.58</v>
      </c>
      <c r="D124" s="10">
        <v>5.7610000000000001</v>
      </c>
      <c r="E124" s="6">
        <v>1.131</v>
      </c>
    </row>
    <row r="125" spans="1:5" x14ac:dyDescent="0.25">
      <c r="A125" t="s">
        <v>1491</v>
      </c>
      <c r="B125" s="1" t="str">
        <f>HYPERLINK("http://www.ncbi.nlm.nih.gov/pubmed/?term=Espn", "Espn")</f>
        <v>Espn</v>
      </c>
      <c r="C125" s="16">
        <v>2.028</v>
      </c>
      <c r="D125" s="10">
        <v>5.766</v>
      </c>
      <c r="E125" s="8">
        <v>4.617</v>
      </c>
    </row>
    <row r="126" spans="1:5" x14ac:dyDescent="0.25">
      <c r="A126" t="s">
        <v>1028</v>
      </c>
      <c r="B126" s="1" t="str">
        <f>HYPERLINK("http://www.ncbi.nlm.nih.gov/pubmed/?term=Sdc3", "Sdc3")</f>
        <v>Sdc3</v>
      </c>
      <c r="C126" s="18">
        <v>3.177</v>
      </c>
      <c r="D126" s="10">
        <v>5.431</v>
      </c>
      <c r="E126" s="16">
        <v>2.2440000000000002</v>
      </c>
    </row>
    <row r="127" spans="1:5" x14ac:dyDescent="0.25">
      <c r="A127" t="s">
        <v>1990</v>
      </c>
      <c r="B127" s="1" t="str">
        <f>HYPERLINK("http://www.ncbi.nlm.nih.gov/pubmed/?term=Robo1", "Robo1")</f>
        <v>Robo1</v>
      </c>
      <c r="C127" s="18">
        <v>3.4649999999999999</v>
      </c>
      <c r="D127" s="10">
        <v>5.6529999999999996</v>
      </c>
      <c r="E127" s="8">
        <v>4.1619999999999999</v>
      </c>
    </row>
    <row r="128" spans="1:5" x14ac:dyDescent="0.25">
      <c r="A128" t="s">
        <v>543</v>
      </c>
      <c r="B128" s="1" t="str">
        <f>HYPERLINK("http://www.ncbi.nlm.nih.gov/pubmed/?term=BC034090", "BC034090")</f>
        <v>BC034090</v>
      </c>
      <c r="C128" s="16">
        <v>2.4449999999999998</v>
      </c>
      <c r="D128" s="10">
        <v>5.2859999999999996</v>
      </c>
      <c r="E128" s="16">
        <v>2.7690000000000001</v>
      </c>
    </row>
    <row r="129" spans="1:5" x14ac:dyDescent="0.25">
      <c r="A129" t="s">
        <v>170</v>
      </c>
      <c r="B129" s="1" t="str">
        <f>HYPERLINK("http://www.ncbi.nlm.nih.gov/pubmed/?term=1810046K07Rik", "1810046K07Rik")</f>
        <v>1810046K07Rik</v>
      </c>
      <c r="C129" s="12">
        <v>-3.0750000000000002</v>
      </c>
      <c r="D129" s="10">
        <v>5.343</v>
      </c>
      <c r="E129" s="18">
        <v>3.0230000000000001</v>
      </c>
    </row>
    <row r="130" spans="1:5" x14ac:dyDescent="0.25">
      <c r="A130" t="s">
        <v>2067</v>
      </c>
      <c r="B130" s="1" t="str">
        <f>HYPERLINK("http://www.ncbi.nlm.nih.gov/pubmed/?term=Ypel3", "Ypel3")</f>
        <v>Ypel3</v>
      </c>
      <c r="C130" s="18">
        <v>3.8769999999999998</v>
      </c>
      <c r="D130" s="10">
        <v>5.56</v>
      </c>
      <c r="E130" s="18">
        <v>3.9710000000000001</v>
      </c>
    </row>
    <row r="131" spans="1:5" x14ac:dyDescent="0.25">
      <c r="A131" t="s">
        <v>1122</v>
      </c>
      <c r="B131" s="1" t="str">
        <f>HYPERLINK("http://www.ncbi.nlm.nih.gov/pubmed/?term=Shisa4", "Shisa4")</f>
        <v>Shisa4</v>
      </c>
      <c r="C131" s="18">
        <v>3.0529999999999999</v>
      </c>
      <c r="D131" s="10">
        <v>5.3280000000000003</v>
      </c>
      <c r="E131" s="18">
        <v>3.0070000000000001</v>
      </c>
    </row>
    <row r="132" spans="1:5" x14ac:dyDescent="0.25">
      <c r="A132" t="s">
        <v>13</v>
      </c>
      <c r="B132" s="1" t="str">
        <f>HYPERLINK("http://www.ncbi.nlm.nih.gov/pubmed/?term=Smoc2", "Smoc2")</f>
        <v>Smoc2</v>
      </c>
      <c r="C132" s="6">
        <v>1.9059999999999999</v>
      </c>
      <c r="D132" s="10">
        <v>5.0380000000000003</v>
      </c>
      <c r="E132" s="12">
        <v>0.96</v>
      </c>
    </row>
    <row r="133" spans="1:5" x14ac:dyDescent="0.25">
      <c r="A133" t="s">
        <v>1925</v>
      </c>
      <c r="B133" s="1" t="str">
        <f>HYPERLINK("http://www.ncbi.nlm.nih.gov/pubmed/?term=Ptgs1", "Ptgs1")</f>
        <v>Ptgs1</v>
      </c>
      <c r="C133" s="12">
        <v>-1.6419999999999999</v>
      </c>
      <c r="D133" s="10">
        <v>5.0570000000000004</v>
      </c>
      <c r="E133" s="16">
        <v>2.0830000000000002</v>
      </c>
    </row>
    <row r="134" spans="1:5" x14ac:dyDescent="0.25">
      <c r="A134" t="s">
        <v>1866</v>
      </c>
      <c r="B134" s="1" t="str">
        <f>HYPERLINK("http://www.ncbi.nlm.nih.gov/pubmed/?term=Stat2", "Stat2")</f>
        <v>Stat2</v>
      </c>
      <c r="C134" s="8">
        <v>4.3099999999999996</v>
      </c>
      <c r="D134" s="10">
        <v>5.56</v>
      </c>
      <c r="E134" s="18">
        <v>3.3860000000000001</v>
      </c>
    </row>
    <row r="135" spans="1:5" x14ac:dyDescent="0.25">
      <c r="A135" t="s">
        <v>771</v>
      </c>
      <c r="B135" s="1" t="str">
        <f>HYPERLINK("http://www.ncbi.nlm.nih.gov/pubmed/?term=1190002N15Rik", "1190002N15Rik")</f>
        <v>1190002N15Rik</v>
      </c>
      <c r="C135" s="18">
        <v>3.0640000000000001</v>
      </c>
      <c r="D135" s="10">
        <v>5.2679999999999998</v>
      </c>
      <c r="E135" s="16">
        <v>2.5739999999999998</v>
      </c>
    </row>
    <row r="136" spans="1:5" x14ac:dyDescent="0.25">
      <c r="A136" t="s">
        <v>390</v>
      </c>
      <c r="B136" s="1" t="str">
        <f>HYPERLINK("http://www.ncbi.nlm.nih.gov/pubmed/?term=Gfra2", "Gfra2")</f>
        <v>Gfra2</v>
      </c>
      <c r="C136" s="12">
        <v>-1.204</v>
      </c>
      <c r="D136" s="10">
        <v>5.3540000000000001</v>
      </c>
      <c r="E136" s="18">
        <v>3.4510000000000001</v>
      </c>
    </row>
    <row r="137" spans="1:5" x14ac:dyDescent="0.25">
      <c r="A137" t="s">
        <v>81</v>
      </c>
      <c r="B137" s="1" t="str">
        <f>HYPERLINK("http://www.ncbi.nlm.nih.gov/pubmed/?term=Skap2", "Skap2")</f>
        <v>Skap2</v>
      </c>
      <c r="C137" s="8">
        <v>4.3630000000000004</v>
      </c>
      <c r="D137" s="10">
        <v>5.56</v>
      </c>
      <c r="E137" s="18">
        <v>3.7160000000000002</v>
      </c>
    </row>
    <row r="138" spans="1:5" x14ac:dyDescent="0.25">
      <c r="A138" t="s">
        <v>1383</v>
      </c>
      <c r="B138" s="1" t="str">
        <f>HYPERLINK("http://www.ncbi.nlm.nih.gov/pubmed/?term=Vcl", "Vcl")</f>
        <v>Vcl</v>
      </c>
      <c r="C138" s="8">
        <v>4.6050000000000004</v>
      </c>
      <c r="D138" s="10">
        <v>5.6079999999999997</v>
      </c>
      <c r="E138" s="8">
        <v>4.2160000000000002</v>
      </c>
    </row>
    <row r="139" spans="1:5" x14ac:dyDescent="0.25">
      <c r="A139" t="s">
        <v>1593</v>
      </c>
      <c r="B139" s="1" t="str">
        <f>HYPERLINK("http://www.ncbi.nlm.nih.gov/pubmed/?term=Ano7", "Ano7")</f>
        <v>Ano7</v>
      </c>
      <c r="C139" s="12">
        <v>-3.915</v>
      </c>
      <c r="D139" s="8">
        <v>4.5359999999999996</v>
      </c>
      <c r="E139" s="12">
        <v>4.1919999999999999E-2</v>
      </c>
    </row>
    <row r="140" spans="1:5" x14ac:dyDescent="0.25">
      <c r="A140" t="s">
        <v>1950</v>
      </c>
      <c r="B140" s="1" t="str">
        <f>HYPERLINK("http://www.ncbi.nlm.nih.gov/pubmed/?term=Tiam1", "Tiam1")</f>
        <v>Tiam1</v>
      </c>
      <c r="C140" s="8">
        <v>4.5259999999999998</v>
      </c>
      <c r="D140" s="10">
        <v>5.5670000000000002</v>
      </c>
      <c r="E140" s="8">
        <v>4.2619999999999996</v>
      </c>
    </row>
    <row r="141" spans="1:5" x14ac:dyDescent="0.25">
      <c r="A141" t="s">
        <v>1819</v>
      </c>
      <c r="B141" s="1" t="str">
        <f>HYPERLINK("http://www.ncbi.nlm.nih.gov/pubmed/?term=Fam108c", "Fam108c")</f>
        <v>Fam108c</v>
      </c>
      <c r="C141" s="18">
        <v>3.24</v>
      </c>
      <c r="D141" s="10">
        <v>5.54</v>
      </c>
      <c r="E141" s="8">
        <v>4.4130000000000003</v>
      </c>
    </row>
    <row r="142" spans="1:5" x14ac:dyDescent="0.25">
      <c r="A142" t="s">
        <v>1697</v>
      </c>
      <c r="B142" s="1" t="str">
        <f>HYPERLINK("http://www.ncbi.nlm.nih.gov/pubmed/?term=Entpd3", "Entpd3")</f>
        <v>Entpd3</v>
      </c>
      <c r="C142" s="12">
        <v>-3.536</v>
      </c>
      <c r="D142" s="8">
        <v>4.5549999999999997</v>
      </c>
      <c r="E142" s="12">
        <v>0.2671</v>
      </c>
    </row>
    <row r="143" spans="1:5" x14ac:dyDescent="0.25">
      <c r="A143" t="s">
        <v>1224</v>
      </c>
      <c r="B143" s="1" t="str">
        <f>HYPERLINK("http://www.ncbi.nlm.nih.gov/pubmed/?term=Dram1", "Dram1")</f>
        <v>Dram1</v>
      </c>
      <c r="C143" s="8">
        <v>4.1449999999999996</v>
      </c>
      <c r="D143" s="10">
        <v>5.4450000000000003</v>
      </c>
      <c r="E143" s="18">
        <v>3.4279999999999999</v>
      </c>
    </row>
    <row r="144" spans="1:5" x14ac:dyDescent="0.25">
      <c r="A144" t="s">
        <v>1644</v>
      </c>
      <c r="B144" s="1" t="str">
        <f>HYPERLINK("http://www.ncbi.nlm.nih.gov/pubmed/?term=Ifngr1", "Ifngr1")</f>
        <v>Ifngr1</v>
      </c>
      <c r="C144" s="8">
        <v>4.47</v>
      </c>
      <c r="D144" s="10">
        <v>5.5170000000000003</v>
      </c>
      <c r="E144" s="18">
        <v>3.8849999999999998</v>
      </c>
    </row>
    <row r="145" spans="1:5" x14ac:dyDescent="0.25">
      <c r="A145" t="s">
        <v>1757</v>
      </c>
      <c r="B145" s="1" t="str">
        <f>HYPERLINK("http://www.ncbi.nlm.nih.gov/pubmed/?term=Sema3f", "Sema3f")</f>
        <v>Sema3f</v>
      </c>
      <c r="C145" s="16">
        <v>2.3140000000000001</v>
      </c>
      <c r="D145" s="10">
        <v>5.47</v>
      </c>
      <c r="E145" s="8">
        <v>4.2670000000000003</v>
      </c>
    </row>
    <row r="146" spans="1:5" x14ac:dyDescent="0.25">
      <c r="A146" t="s">
        <v>1870</v>
      </c>
      <c r="B146" s="1" t="str">
        <f>HYPERLINK("http://www.ncbi.nlm.nih.gov/pubmed/?term=Scx", "Scx")</f>
        <v>Scx</v>
      </c>
      <c r="C146" s="12">
        <v>-0.36020000000000002</v>
      </c>
      <c r="D146" s="8">
        <v>4.72</v>
      </c>
      <c r="E146" s="6">
        <v>1.0309999999999999</v>
      </c>
    </row>
    <row r="147" spans="1:5" x14ac:dyDescent="0.25">
      <c r="A147" t="s">
        <v>1311</v>
      </c>
      <c r="B147" s="1" t="str">
        <f>HYPERLINK("http://www.ncbi.nlm.nih.gov/pubmed/?term=Tspan8", "Tspan8")</f>
        <v>Tspan8</v>
      </c>
      <c r="C147" s="12">
        <v>-2.1930000000000001</v>
      </c>
      <c r="D147" s="10">
        <v>5.1100000000000003</v>
      </c>
      <c r="E147" s="16">
        <v>2.7690000000000001</v>
      </c>
    </row>
    <row r="148" spans="1:5" x14ac:dyDescent="0.25">
      <c r="A148" t="s">
        <v>1365</v>
      </c>
      <c r="B148" s="1" t="str">
        <f>HYPERLINK("http://www.ncbi.nlm.nih.gov/pubmed/?term=Aire", "Aire")</f>
        <v>Aire</v>
      </c>
      <c r="C148" s="12">
        <v>0.52710000000000001</v>
      </c>
      <c r="D148" s="8">
        <v>4.5990000000000002</v>
      </c>
      <c r="E148" s="12">
        <v>0.57110000000000005</v>
      </c>
    </row>
    <row r="149" spans="1:5" x14ac:dyDescent="0.25">
      <c r="A149" t="s">
        <v>2001</v>
      </c>
      <c r="B149" s="1" t="str">
        <f>HYPERLINK("http://www.ncbi.nlm.nih.gov/pubmed/?term=Spink3", "Spink3")</f>
        <v>Spink3</v>
      </c>
      <c r="C149" s="12">
        <v>-1.1299999999999999</v>
      </c>
      <c r="D149" s="10">
        <v>5.306</v>
      </c>
      <c r="E149" s="18">
        <v>3.74</v>
      </c>
    </row>
    <row r="150" spans="1:5" x14ac:dyDescent="0.25">
      <c r="A150" t="s">
        <v>709</v>
      </c>
      <c r="B150" s="1" t="str">
        <f>HYPERLINK("http://www.ncbi.nlm.nih.gov/pubmed/?term=Slc27a1", "Slc27a1")</f>
        <v>Slc27a1</v>
      </c>
      <c r="C150" s="8">
        <v>4.077</v>
      </c>
      <c r="D150" s="10">
        <v>5.383</v>
      </c>
      <c r="E150" s="18">
        <v>3.79</v>
      </c>
    </row>
    <row r="151" spans="1:5" x14ac:dyDescent="0.25">
      <c r="A151" t="s">
        <v>486</v>
      </c>
      <c r="B151" s="1" t="str">
        <f>HYPERLINK("http://www.ncbi.nlm.nih.gov/pubmed/?term=Slitrk6", "Slitrk6")</f>
        <v>Slitrk6</v>
      </c>
      <c r="C151" s="12">
        <v>-4.2300000000000004</v>
      </c>
      <c r="D151" s="8">
        <v>4.4379999999999997</v>
      </c>
      <c r="E151" s="12">
        <v>-0.67210000000000003</v>
      </c>
    </row>
    <row r="152" spans="1:5" x14ac:dyDescent="0.25">
      <c r="A152" t="s">
        <v>1751</v>
      </c>
      <c r="B152" s="1" t="str">
        <f>HYPERLINK("http://www.ncbi.nlm.nih.gov/pubmed/?term=Klf4", "Klf4")</f>
        <v>Klf4</v>
      </c>
      <c r="C152" s="16">
        <v>2.69</v>
      </c>
      <c r="D152" s="10">
        <v>5.4109999999999996</v>
      </c>
      <c r="E152" s="8">
        <v>4.2080000000000002</v>
      </c>
    </row>
    <row r="153" spans="1:5" x14ac:dyDescent="0.25">
      <c r="A153" t="s">
        <v>1422</v>
      </c>
      <c r="B153" s="1" t="str">
        <f>HYPERLINK("http://www.ncbi.nlm.nih.gov/pubmed/?term=Agt", "Agt")</f>
        <v>Agt</v>
      </c>
      <c r="C153" s="12">
        <v>-3.4449999999999998</v>
      </c>
      <c r="D153" s="8">
        <v>4.4029999999999996</v>
      </c>
      <c r="E153" s="12">
        <v>-0.20619999999999999</v>
      </c>
    </row>
    <row r="154" spans="1:5" x14ac:dyDescent="0.25">
      <c r="A154" t="s">
        <v>1266</v>
      </c>
      <c r="B154" s="1" t="str">
        <f>HYPERLINK("http://www.ncbi.nlm.nih.gov/pubmed/?term=Scg5", "Scg5")</f>
        <v>Scg5</v>
      </c>
      <c r="C154" s="12">
        <v>0.30199999999999999</v>
      </c>
      <c r="D154" s="10">
        <v>5.3849999999999998</v>
      </c>
      <c r="E154" s="8">
        <v>4.25</v>
      </c>
    </row>
    <row r="155" spans="1:5" x14ac:dyDescent="0.25">
      <c r="A155" t="s">
        <v>365</v>
      </c>
      <c r="B155" s="1" t="str">
        <f>HYPERLINK("http://www.ncbi.nlm.nih.gov/pubmed/?term=Mgat5b", "Mgat5b")</f>
        <v>Mgat5b</v>
      </c>
      <c r="C155" s="6">
        <v>1.349</v>
      </c>
      <c r="D155" s="8">
        <v>4.8650000000000002</v>
      </c>
      <c r="E155" s="16">
        <v>2.0459999999999998</v>
      </c>
    </row>
    <row r="156" spans="1:5" x14ac:dyDescent="0.25">
      <c r="A156" t="s">
        <v>1467</v>
      </c>
      <c r="B156" s="1" t="str">
        <f>HYPERLINK("http://www.ncbi.nlm.nih.gov/pubmed/?term=Man1a", "Man1a")</f>
        <v>Man1a</v>
      </c>
      <c r="C156" s="18">
        <v>3.3490000000000002</v>
      </c>
      <c r="D156" s="10">
        <v>5.23</v>
      </c>
      <c r="E156" s="18">
        <v>3.6280000000000001</v>
      </c>
    </row>
    <row r="157" spans="1:5" x14ac:dyDescent="0.25">
      <c r="A157" t="s">
        <v>442</v>
      </c>
      <c r="B157" s="1" t="str">
        <f>HYPERLINK("http://www.ncbi.nlm.nih.gov/pubmed/?term=Lbh", "Lbh")</f>
        <v>Lbh</v>
      </c>
      <c r="C157" s="16">
        <v>2.1419999999999999</v>
      </c>
      <c r="D157" s="10">
        <v>5.3920000000000003</v>
      </c>
      <c r="E157" s="8">
        <v>4.3440000000000003</v>
      </c>
    </row>
    <row r="158" spans="1:5" x14ac:dyDescent="0.25">
      <c r="A158" t="s">
        <v>168</v>
      </c>
      <c r="B158" s="1" t="str">
        <f>HYPERLINK("http://www.ncbi.nlm.nih.gov/pubmed/?term=Pou2f3", "Pou2f3")</f>
        <v>Pou2f3</v>
      </c>
      <c r="C158" s="18">
        <v>3.375</v>
      </c>
      <c r="D158" s="10">
        <v>5.1559999999999997</v>
      </c>
      <c r="E158" s="18">
        <v>3.2610000000000001</v>
      </c>
    </row>
    <row r="159" spans="1:5" x14ac:dyDescent="0.25">
      <c r="A159" t="s">
        <v>855</v>
      </c>
      <c r="B159" s="1" t="str">
        <f>HYPERLINK("http://www.ncbi.nlm.nih.gov/pubmed/?term=Tppp3", "Tppp3")</f>
        <v>Tppp3</v>
      </c>
      <c r="C159" s="18">
        <v>3.1320000000000001</v>
      </c>
      <c r="D159" s="10">
        <v>5.2549999999999999</v>
      </c>
      <c r="E159" s="18">
        <v>3.851</v>
      </c>
    </row>
    <row r="160" spans="1:5" x14ac:dyDescent="0.25">
      <c r="A160" t="s">
        <v>399</v>
      </c>
      <c r="B160" s="1" t="str">
        <f>HYPERLINK("http://www.ncbi.nlm.nih.gov/pubmed/?term=Trim47", "Trim47")</f>
        <v>Trim47</v>
      </c>
      <c r="C160" s="16">
        <v>2.5750000000000002</v>
      </c>
      <c r="D160" s="10">
        <v>5.2080000000000002</v>
      </c>
      <c r="E160" s="18">
        <v>3.6720000000000002</v>
      </c>
    </row>
    <row r="161" spans="1:5" x14ac:dyDescent="0.25">
      <c r="A161" t="s">
        <v>949</v>
      </c>
      <c r="B161" s="1" t="str">
        <f>HYPERLINK("http://www.ncbi.nlm.nih.gov/pubmed/?term=Bpifa1", "Bpifa1")</f>
        <v>Bpifa1</v>
      </c>
      <c r="C161" s="16">
        <v>2.1459999999999999</v>
      </c>
      <c r="D161" s="10">
        <v>5.26</v>
      </c>
      <c r="E161" s="18">
        <v>3.8969999999999998</v>
      </c>
    </row>
    <row r="162" spans="1:5" x14ac:dyDescent="0.25">
      <c r="A162" t="s">
        <v>743</v>
      </c>
      <c r="B162" s="1" t="str">
        <f>HYPERLINK("http://www.ncbi.nlm.nih.gov/pubmed/?term=Galnt2", "Galnt2")</f>
        <v>Galnt2</v>
      </c>
      <c r="C162" s="8">
        <v>4.3120000000000003</v>
      </c>
      <c r="D162" s="10">
        <v>5.3490000000000002</v>
      </c>
      <c r="E162" s="8">
        <v>4.2880000000000003</v>
      </c>
    </row>
    <row r="163" spans="1:5" x14ac:dyDescent="0.25">
      <c r="A163" t="s">
        <v>1673</v>
      </c>
      <c r="B163" s="1" t="str">
        <f>HYPERLINK("http://www.ncbi.nlm.nih.gov/pubmed/?term=Cadm4", "Cadm4")</f>
        <v>Cadm4</v>
      </c>
      <c r="C163" s="12">
        <v>0.2051</v>
      </c>
      <c r="D163" s="8">
        <v>4.6840000000000002</v>
      </c>
      <c r="E163" s="6">
        <v>1.478</v>
      </c>
    </row>
    <row r="164" spans="1:5" x14ac:dyDescent="0.25">
      <c r="A164" t="s">
        <v>630</v>
      </c>
      <c r="B164" s="1" t="str">
        <f>HYPERLINK("http://www.ncbi.nlm.nih.gov/pubmed/?term=1600029D21Rik", "1600029D21Rik")</f>
        <v>1600029D21Rik</v>
      </c>
      <c r="C164" s="12">
        <v>-0.70420000000000005</v>
      </c>
      <c r="D164" s="8">
        <v>4.8259999999999996</v>
      </c>
      <c r="E164" s="16">
        <v>2.0979999999999999</v>
      </c>
    </row>
    <row r="165" spans="1:5" x14ac:dyDescent="0.25">
      <c r="A165" t="s">
        <v>1704</v>
      </c>
      <c r="B165" s="1" t="str">
        <f>HYPERLINK("http://www.ncbi.nlm.nih.gov/pubmed/?term=Slc27a3", "Slc27a3")</f>
        <v>Slc27a3</v>
      </c>
      <c r="C165" s="8">
        <v>4.0359999999999996</v>
      </c>
      <c r="D165" s="10">
        <v>5.2530000000000001</v>
      </c>
      <c r="E165" s="6">
        <v>1.589</v>
      </c>
    </row>
    <row r="166" spans="1:5" x14ac:dyDescent="0.25">
      <c r="A166" t="s">
        <v>772</v>
      </c>
      <c r="B166" s="1" t="str">
        <f>HYPERLINK("http://www.ncbi.nlm.nih.gov/pubmed/?term=Sectm1a", "Sectm1a")</f>
        <v>Sectm1a</v>
      </c>
      <c r="C166" s="12">
        <v>0.62690000000000001</v>
      </c>
      <c r="D166" s="8">
        <v>4.8239999999999998</v>
      </c>
      <c r="E166" s="16">
        <v>2.2440000000000002</v>
      </c>
    </row>
    <row r="167" spans="1:5" x14ac:dyDescent="0.25">
      <c r="A167" t="s">
        <v>1503</v>
      </c>
      <c r="B167" s="1" t="str">
        <f>HYPERLINK("http://www.ncbi.nlm.nih.gov/pubmed/?term=Ethe1", "Ethe1")</f>
        <v>Ethe1</v>
      </c>
      <c r="C167" s="18">
        <v>3.0209999999999999</v>
      </c>
      <c r="D167" s="8">
        <v>4.9850000000000003</v>
      </c>
      <c r="E167" s="16">
        <v>2.4809999999999999</v>
      </c>
    </row>
    <row r="168" spans="1:5" x14ac:dyDescent="0.25">
      <c r="A168" t="s">
        <v>1714</v>
      </c>
      <c r="B168" s="1" t="str">
        <f>HYPERLINK("http://www.ncbi.nlm.nih.gov/pubmed/?term=Scn3b", "Scn3b")</f>
        <v>Scn3b</v>
      </c>
      <c r="C168" s="16">
        <v>2.4350000000000001</v>
      </c>
      <c r="D168" s="8">
        <v>4.8390000000000004</v>
      </c>
      <c r="E168" s="12">
        <v>4.0149999999999998E-2</v>
      </c>
    </row>
    <row r="169" spans="1:5" x14ac:dyDescent="0.25">
      <c r="A169" t="s">
        <v>955</v>
      </c>
      <c r="B169" s="1" t="str">
        <f>HYPERLINK("http://www.ncbi.nlm.nih.gov/pubmed/?term=Scd1", "Scd1")</f>
        <v>Scd1</v>
      </c>
      <c r="C169" s="12">
        <v>0.96619999999999995</v>
      </c>
      <c r="D169" s="10">
        <v>5.2469999999999999</v>
      </c>
      <c r="E169" s="8">
        <v>4.2130000000000001</v>
      </c>
    </row>
    <row r="170" spans="1:5" x14ac:dyDescent="0.25">
      <c r="A170" t="s">
        <v>850</v>
      </c>
      <c r="B170" s="1" t="str">
        <f>HYPERLINK("http://www.ncbi.nlm.nih.gov/pubmed/?term=Fst", "Fst")</f>
        <v>Fst</v>
      </c>
      <c r="C170" s="12">
        <v>-0.97740000000000005</v>
      </c>
      <c r="D170" s="8">
        <v>4.28</v>
      </c>
      <c r="E170" s="12">
        <v>0.1129</v>
      </c>
    </row>
    <row r="171" spans="1:5" x14ac:dyDescent="0.25">
      <c r="A171" t="s">
        <v>1611</v>
      </c>
      <c r="B171" s="1" t="str">
        <f>HYPERLINK("http://www.ncbi.nlm.nih.gov/pubmed/?term=Nrgn", "Nrgn")</f>
        <v>Nrgn</v>
      </c>
      <c r="C171" s="12">
        <v>-2.9060000000000001</v>
      </c>
      <c r="D171" s="8">
        <v>4.2300000000000004</v>
      </c>
      <c r="E171" s="12">
        <v>-1.1240000000000001</v>
      </c>
    </row>
    <row r="172" spans="1:5" x14ac:dyDescent="0.25">
      <c r="A172" t="s">
        <v>78</v>
      </c>
      <c r="B172" s="1" t="str">
        <f>HYPERLINK("http://www.ncbi.nlm.nih.gov/pubmed/?term=Furin", "Furin")</f>
        <v>Furin</v>
      </c>
      <c r="C172" s="8">
        <v>4.101</v>
      </c>
      <c r="D172" s="10">
        <v>5.1790000000000003</v>
      </c>
      <c r="E172" s="18">
        <v>3.915</v>
      </c>
    </row>
    <row r="173" spans="1:5" x14ac:dyDescent="0.25">
      <c r="A173" t="s">
        <v>147</v>
      </c>
      <c r="B173" s="1" t="str">
        <f>HYPERLINK("http://www.ncbi.nlm.nih.gov/pubmed/?term=D14Ertd668e", "D14Ertd668e")</f>
        <v>D14Ertd668e</v>
      </c>
      <c r="C173" s="18">
        <v>3.1150000000000002</v>
      </c>
      <c r="D173" s="8">
        <v>4.9450000000000003</v>
      </c>
      <c r="E173" s="12">
        <v>0.92879999999999996</v>
      </c>
    </row>
    <row r="174" spans="1:5" x14ac:dyDescent="0.25">
      <c r="A174" t="s">
        <v>1596</v>
      </c>
      <c r="B174" s="1" t="str">
        <f>HYPERLINK("http://www.ncbi.nlm.nih.gov/pubmed/?term=Ahnak2", "Ahnak2")</f>
        <v>Ahnak2</v>
      </c>
      <c r="C174" s="6">
        <v>1.3260000000000001</v>
      </c>
      <c r="D174" s="8">
        <v>4.7729999999999997</v>
      </c>
      <c r="E174" s="16">
        <v>2.399</v>
      </c>
    </row>
    <row r="175" spans="1:5" x14ac:dyDescent="0.25">
      <c r="A175" t="s">
        <v>1051</v>
      </c>
      <c r="B175" s="1" t="str">
        <f>HYPERLINK("http://www.ncbi.nlm.nih.gov/pubmed/?term=Adh1", "Adh1")</f>
        <v>Adh1</v>
      </c>
      <c r="C175" s="12">
        <v>-2.2890000000000001</v>
      </c>
      <c r="D175" s="8">
        <v>4.6890000000000001</v>
      </c>
      <c r="E175" s="16">
        <v>2.0369999999999999</v>
      </c>
    </row>
    <row r="176" spans="1:5" x14ac:dyDescent="0.25">
      <c r="A176" t="s">
        <v>480</v>
      </c>
      <c r="B176" s="1" t="str">
        <f>HYPERLINK("http://www.ncbi.nlm.nih.gov/pubmed/?term=Tmem64", "Tmem64")</f>
        <v>Tmem64</v>
      </c>
      <c r="C176" s="18">
        <v>3.4420000000000002</v>
      </c>
      <c r="D176" s="10">
        <v>5.0019999999999998</v>
      </c>
      <c r="E176" s="16">
        <v>2.161</v>
      </c>
    </row>
    <row r="177" spans="1:5" x14ac:dyDescent="0.25">
      <c r="A177" t="s">
        <v>51</v>
      </c>
      <c r="B177" s="1" t="str">
        <f>HYPERLINK("http://www.ncbi.nlm.nih.gov/pubmed/?term=Cxadr", "Cxadr")</f>
        <v>Cxadr</v>
      </c>
      <c r="C177" s="12">
        <v>0.40210000000000001</v>
      </c>
      <c r="D177" s="8">
        <v>4.7990000000000004</v>
      </c>
      <c r="E177" s="16">
        <v>2.5640000000000001</v>
      </c>
    </row>
    <row r="178" spans="1:5" x14ac:dyDescent="0.25">
      <c r="A178" t="s">
        <v>1455</v>
      </c>
      <c r="B178" s="1" t="str">
        <f>HYPERLINK("http://www.ncbi.nlm.nih.gov/pubmed/?term=Chga", "Chga")</f>
        <v>Chga</v>
      </c>
      <c r="C178" s="12">
        <v>0.77839999999999998</v>
      </c>
      <c r="D178" s="10">
        <v>5.0149999999999997</v>
      </c>
      <c r="E178" s="18">
        <v>3.508</v>
      </c>
    </row>
    <row r="179" spans="1:5" x14ac:dyDescent="0.25">
      <c r="A179" t="s">
        <v>1509</v>
      </c>
      <c r="B179" s="1" t="str">
        <f>HYPERLINK("http://www.ncbi.nlm.nih.gov/pubmed/?term=Gm20481", "Gm20481")</f>
        <v>Gm20481</v>
      </c>
      <c r="C179" s="16">
        <v>2.431</v>
      </c>
      <c r="D179" s="10">
        <v>5.1479999999999997</v>
      </c>
      <c r="E179" s="8">
        <v>4.12</v>
      </c>
    </row>
    <row r="180" spans="1:5" x14ac:dyDescent="0.25">
      <c r="A180" t="s">
        <v>1978</v>
      </c>
      <c r="B180" s="1" t="str">
        <f>HYPERLINK("http://www.ncbi.nlm.nih.gov/pubmed/?term=Aldh3a1", "Aldh3a1")</f>
        <v>Aldh3a1</v>
      </c>
      <c r="C180" s="12">
        <v>-0.6603</v>
      </c>
      <c r="D180" s="8">
        <v>4.41</v>
      </c>
      <c r="E180" s="12">
        <v>0.9375</v>
      </c>
    </row>
    <row r="181" spans="1:5" x14ac:dyDescent="0.25">
      <c r="A181" t="s">
        <v>1928</v>
      </c>
      <c r="B181" s="1" t="str">
        <f>HYPERLINK("http://www.ncbi.nlm.nih.gov/pubmed/?term=Rnase1", "Rnase1")</f>
        <v>Rnase1</v>
      </c>
      <c r="C181" s="12">
        <v>-2.2749999999999999</v>
      </c>
      <c r="D181" s="8">
        <v>4.5999999999999996</v>
      </c>
      <c r="E181" s="6">
        <v>1.7729999999999999</v>
      </c>
    </row>
    <row r="182" spans="1:5" x14ac:dyDescent="0.25">
      <c r="A182" t="s">
        <v>1936</v>
      </c>
      <c r="B182" s="1" t="str">
        <f>HYPERLINK("http://www.ncbi.nlm.nih.gov/pubmed/?term=Ano10", "Ano10")</f>
        <v>Ano10</v>
      </c>
      <c r="C182" s="16">
        <v>2.738</v>
      </c>
      <c r="D182" s="8">
        <v>4.8109999999999999</v>
      </c>
      <c r="E182" s="16">
        <v>2.3839999999999999</v>
      </c>
    </row>
    <row r="183" spans="1:5" x14ac:dyDescent="0.25">
      <c r="A183" t="s">
        <v>1911</v>
      </c>
      <c r="B183" s="1" t="str">
        <f>HYPERLINK("http://www.ncbi.nlm.nih.gov/pubmed/?term=Ltc4s", "Ltc4s")</f>
        <v>Ltc4s</v>
      </c>
      <c r="C183" s="12">
        <v>-3.0790000000000002</v>
      </c>
      <c r="D183" s="8">
        <v>4.8620000000000001</v>
      </c>
      <c r="E183" s="18">
        <v>3.0150000000000001</v>
      </c>
    </row>
    <row r="184" spans="1:5" x14ac:dyDescent="0.25">
      <c r="A184" t="s">
        <v>710</v>
      </c>
      <c r="B184" s="1" t="str">
        <f>HYPERLINK("http://www.ncbi.nlm.nih.gov/pubmed/?term=Itpr2", "Itpr2")</f>
        <v>Itpr2</v>
      </c>
      <c r="C184" s="16">
        <v>2.1339999999999999</v>
      </c>
      <c r="D184" s="8">
        <v>4.7649999999999997</v>
      </c>
      <c r="E184" s="16">
        <v>2.6150000000000002</v>
      </c>
    </row>
    <row r="185" spans="1:5" x14ac:dyDescent="0.25">
      <c r="A185" t="s">
        <v>1785</v>
      </c>
      <c r="B185" s="1" t="str">
        <f>HYPERLINK("http://www.ncbi.nlm.nih.gov/pubmed/?term=Dhx58", "Dhx58")</f>
        <v>Dhx58</v>
      </c>
      <c r="C185" s="18">
        <v>3.4870000000000001</v>
      </c>
      <c r="D185" s="10">
        <v>5.0199999999999996</v>
      </c>
      <c r="E185" s="18">
        <v>3.7280000000000002</v>
      </c>
    </row>
    <row r="186" spans="1:5" x14ac:dyDescent="0.25">
      <c r="A186" t="s">
        <v>1150</v>
      </c>
      <c r="B186" s="1" t="str">
        <f>HYPERLINK("http://www.ncbi.nlm.nih.gov/pubmed/?term=Clca1", "Clca1")</f>
        <v>Clca1</v>
      </c>
      <c r="C186" s="12">
        <v>-1.58</v>
      </c>
      <c r="D186" s="8">
        <v>4.6909999999999998</v>
      </c>
      <c r="E186" s="16">
        <v>2.331</v>
      </c>
    </row>
    <row r="187" spans="1:5" x14ac:dyDescent="0.25">
      <c r="A187" t="s">
        <v>304</v>
      </c>
      <c r="B187" s="1" t="str">
        <f>HYPERLINK("http://www.ncbi.nlm.nih.gov/pubmed/?term=Clca3", "Clca3")</f>
        <v>Clca3</v>
      </c>
      <c r="C187" s="12">
        <v>-3.3370000000000002</v>
      </c>
      <c r="D187" s="8">
        <v>4.6449999999999996</v>
      </c>
      <c r="E187" s="16">
        <v>2.181</v>
      </c>
    </row>
    <row r="188" spans="1:5" x14ac:dyDescent="0.25">
      <c r="A188" t="s">
        <v>429</v>
      </c>
      <c r="B188" s="1" t="str">
        <f>HYPERLINK("http://www.ncbi.nlm.nih.gov/pubmed/?term=Cadps2", "Cadps2")</f>
        <v>Cadps2</v>
      </c>
      <c r="C188" s="16">
        <v>2.6309999999999998</v>
      </c>
      <c r="D188" s="8">
        <v>4.915</v>
      </c>
      <c r="E188" s="18">
        <v>3.3660000000000001</v>
      </c>
    </row>
    <row r="189" spans="1:5" x14ac:dyDescent="0.25">
      <c r="A189" t="s">
        <v>858</v>
      </c>
      <c r="B189" s="1" t="str">
        <f>HYPERLINK("http://www.ncbi.nlm.nih.gov/pubmed/?term=Arhgap4", "Arhgap4")</f>
        <v>Arhgap4</v>
      </c>
      <c r="C189" s="16">
        <v>2.347</v>
      </c>
      <c r="D189" s="8">
        <v>4.9320000000000004</v>
      </c>
      <c r="E189" s="18">
        <v>3.4740000000000002</v>
      </c>
    </row>
    <row r="190" spans="1:5" x14ac:dyDescent="0.25">
      <c r="A190" t="s">
        <v>758</v>
      </c>
      <c r="B190" s="1" t="str">
        <f>HYPERLINK("http://www.ncbi.nlm.nih.gov/pubmed/?term=Esyt1", "Esyt1")</f>
        <v>Esyt1</v>
      </c>
      <c r="C190" s="18">
        <v>3.4569999999999999</v>
      </c>
      <c r="D190" s="8">
        <v>4.97</v>
      </c>
      <c r="E190" s="18">
        <v>3.65</v>
      </c>
    </row>
    <row r="191" spans="1:5" x14ac:dyDescent="0.25">
      <c r="A191" t="s">
        <v>414</v>
      </c>
      <c r="B191" s="1" t="str">
        <f>HYPERLINK("http://www.ncbi.nlm.nih.gov/pubmed/?term=Selm", "Selm")</f>
        <v>Selm</v>
      </c>
      <c r="C191" s="12">
        <v>-0.6865</v>
      </c>
      <c r="D191" s="10">
        <v>5.0259999999999998</v>
      </c>
      <c r="E191" s="18">
        <v>3.9169999999999998</v>
      </c>
    </row>
    <row r="192" spans="1:5" x14ac:dyDescent="0.25">
      <c r="A192" t="s">
        <v>1802</v>
      </c>
      <c r="B192" s="1" t="str">
        <f>HYPERLINK("http://www.ncbi.nlm.nih.gov/pubmed/?term=Sgk1", "Sgk1")</f>
        <v>Sgk1</v>
      </c>
      <c r="C192" s="12">
        <v>0.29849999999999999</v>
      </c>
      <c r="D192" s="8">
        <v>4.7629999999999999</v>
      </c>
      <c r="E192" s="16">
        <v>2.8079999999999998</v>
      </c>
    </row>
    <row r="193" spans="1:5" x14ac:dyDescent="0.25">
      <c r="A193" t="s">
        <v>1496</v>
      </c>
      <c r="B193" s="1" t="str">
        <f>HYPERLINK("http://www.ncbi.nlm.nih.gov/pubmed/?term=Tgfb1i1", "Tgfb1i1")</f>
        <v>Tgfb1i1</v>
      </c>
      <c r="C193" s="18">
        <v>3.343</v>
      </c>
      <c r="D193" s="8">
        <v>4.8860000000000001</v>
      </c>
      <c r="E193" s="12">
        <v>0.68210000000000004</v>
      </c>
    </row>
    <row r="194" spans="1:5" x14ac:dyDescent="0.25">
      <c r="A194" t="s">
        <v>997</v>
      </c>
      <c r="B194" s="1" t="str">
        <f>HYPERLINK("http://www.ncbi.nlm.nih.gov/pubmed/?term=Clmn", "Clmn")</f>
        <v>Clmn</v>
      </c>
      <c r="C194" s="16">
        <v>2.069</v>
      </c>
      <c r="D194" s="8">
        <v>4.6859999999999999</v>
      </c>
      <c r="E194" s="16">
        <v>2.5</v>
      </c>
    </row>
    <row r="195" spans="1:5" x14ac:dyDescent="0.25">
      <c r="A195" t="s">
        <v>195</v>
      </c>
      <c r="B195" s="1" t="str">
        <f>HYPERLINK("http://www.ncbi.nlm.nih.gov/pubmed/?term=Pde2a", "Pde2a")</f>
        <v>Pde2a</v>
      </c>
      <c r="C195" s="12">
        <v>-2.1240000000000001</v>
      </c>
      <c r="D195" s="8">
        <v>4.53</v>
      </c>
      <c r="E195" s="6">
        <v>1.8380000000000001</v>
      </c>
    </row>
    <row r="196" spans="1:5" x14ac:dyDescent="0.25">
      <c r="A196" t="s">
        <v>211</v>
      </c>
      <c r="B196" s="1" t="str">
        <f>HYPERLINK("http://www.ncbi.nlm.nih.gov/pubmed/?term=Lox", "Lox")</f>
        <v>Lox</v>
      </c>
      <c r="C196" s="12">
        <v>-0.24299999999999999</v>
      </c>
      <c r="D196" s="8">
        <v>4.0970000000000004</v>
      </c>
      <c r="E196" s="12">
        <v>-0.89410000000000001</v>
      </c>
    </row>
    <row r="197" spans="1:5" x14ac:dyDescent="0.25">
      <c r="A197" t="s">
        <v>278</v>
      </c>
      <c r="B197" s="1" t="str">
        <f>HYPERLINK("http://www.ncbi.nlm.nih.gov/pubmed/?term=A630073D07Rik", "A630073D07Rik")</f>
        <v>A630073D07Rik</v>
      </c>
      <c r="C197" s="12">
        <v>-5.4980000000000002</v>
      </c>
      <c r="D197" s="8">
        <v>4.1459999999999999</v>
      </c>
      <c r="E197" s="12">
        <v>0.23280000000000001</v>
      </c>
    </row>
    <row r="198" spans="1:5" x14ac:dyDescent="0.25">
      <c r="A198" t="s">
        <v>1641</v>
      </c>
      <c r="B198" s="1" t="str">
        <f>HYPERLINK("http://www.ncbi.nlm.nih.gov/pubmed/?term=Oas2", "Oas2")</f>
        <v>Oas2</v>
      </c>
      <c r="C198" s="12">
        <v>-2.4249999999999998</v>
      </c>
      <c r="D198" s="8">
        <v>4.0880000000000001</v>
      </c>
      <c r="E198" s="12">
        <v>-2.4369999999999998</v>
      </c>
    </row>
    <row r="199" spans="1:5" x14ac:dyDescent="0.25">
      <c r="A199" t="s">
        <v>601</v>
      </c>
      <c r="B199" s="1" t="str">
        <f>HYPERLINK("http://www.ncbi.nlm.nih.gov/pubmed/?term=Oas3", "Oas3")</f>
        <v>Oas3</v>
      </c>
      <c r="C199" s="6">
        <v>1.1930000000000001</v>
      </c>
      <c r="D199" s="8">
        <v>4.4550000000000001</v>
      </c>
      <c r="E199" s="6">
        <v>1.673</v>
      </c>
    </row>
    <row r="200" spans="1:5" x14ac:dyDescent="0.25">
      <c r="A200" t="s">
        <v>2068</v>
      </c>
      <c r="B200" s="1" t="str">
        <f>HYPERLINK("http://www.ncbi.nlm.nih.gov/pubmed/?term=Bpgm", "Bpgm")</f>
        <v>Bpgm</v>
      </c>
      <c r="C200" s="18">
        <v>3.61</v>
      </c>
      <c r="D200" s="8">
        <v>4.9009999999999998</v>
      </c>
      <c r="E200" s="18">
        <v>3.2240000000000002</v>
      </c>
    </row>
    <row r="201" spans="1:5" x14ac:dyDescent="0.25">
      <c r="A201" t="s">
        <v>1628</v>
      </c>
      <c r="B201" s="1" t="str">
        <f>HYPERLINK("http://www.ncbi.nlm.nih.gov/pubmed/?term=Oas1a", "Oas1a")</f>
        <v>Oas1a</v>
      </c>
      <c r="C201" s="18">
        <v>3.1659999999999999</v>
      </c>
      <c r="D201" s="8">
        <v>4.7949999999999999</v>
      </c>
      <c r="E201" s="16">
        <v>2.8849999999999998</v>
      </c>
    </row>
    <row r="202" spans="1:5" x14ac:dyDescent="0.25">
      <c r="A202" t="s">
        <v>962</v>
      </c>
      <c r="B202" s="1" t="str">
        <f>HYPERLINK("http://www.ncbi.nlm.nih.gov/pubmed/?term=Slc7a11", "Slc7a11")</f>
        <v>Slc7a11</v>
      </c>
      <c r="C202" s="12">
        <v>0.29060000000000002</v>
      </c>
      <c r="D202" s="8">
        <v>4.7080000000000002</v>
      </c>
      <c r="E202" s="16">
        <v>2.8069999999999999</v>
      </c>
    </row>
    <row r="203" spans="1:5" x14ac:dyDescent="0.25">
      <c r="A203" t="s">
        <v>1638</v>
      </c>
      <c r="B203" s="1" t="str">
        <f>HYPERLINK("http://www.ncbi.nlm.nih.gov/pubmed/?term=Lmo2", "Lmo2")</f>
        <v>Lmo2</v>
      </c>
      <c r="C203" s="12">
        <v>-3.9430000000000001</v>
      </c>
      <c r="D203" s="8">
        <v>4.1289999999999996</v>
      </c>
      <c r="E203" s="12">
        <v>0.32079999999999997</v>
      </c>
    </row>
    <row r="204" spans="1:5" x14ac:dyDescent="0.25">
      <c r="A204" t="s">
        <v>284</v>
      </c>
      <c r="B204" s="1" t="str">
        <f>HYPERLINK("http://www.ncbi.nlm.nih.gov/pubmed/?term=Plcg2", "Plcg2")</f>
        <v>Plcg2</v>
      </c>
      <c r="C204" s="16">
        <v>2.7959999999999998</v>
      </c>
      <c r="D204" s="8">
        <v>4.8380000000000001</v>
      </c>
      <c r="E204" s="18">
        <v>3.4089999999999998</v>
      </c>
    </row>
    <row r="205" spans="1:5" x14ac:dyDescent="0.25">
      <c r="A205" t="s">
        <v>1385</v>
      </c>
      <c r="B205" s="1" t="str">
        <f>HYPERLINK("http://www.ncbi.nlm.nih.gov/pubmed/?term=Grk6", "Grk6")</f>
        <v>Grk6</v>
      </c>
      <c r="C205" s="18">
        <v>3.8420000000000001</v>
      </c>
      <c r="D205" s="8">
        <v>4.9180000000000001</v>
      </c>
      <c r="E205" s="18">
        <v>3.6480000000000001</v>
      </c>
    </row>
    <row r="206" spans="1:5" x14ac:dyDescent="0.25">
      <c r="A206" t="s">
        <v>220</v>
      </c>
      <c r="B206" s="1" t="str">
        <f>HYPERLINK("http://www.ncbi.nlm.nih.gov/pubmed/?term=Tmem45b", "Tmem45b")</f>
        <v>Tmem45b</v>
      </c>
      <c r="C206" s="12">
        <v>-2.7639999999999998</v>
      </c>
      <c r="D206" s="8">
        <v>4.5359999999999996</v>
      </c>
      <c r="E206" s="16">
        <v>2.1989999999999998</v>
      </c>
    </row>
    <row r="207" spans="1:5" x14ac:dyDescent="0.25">
      <c r="A207" t="s">
        <v>1798</v>
      </c>
      <c r="B207" s="1" t="str">
        <f>HYPERLINK("http://www.ncbi.nlm.nih.gov/pubmed/?term=Sort1", "Sort1")</f>
        <v>Sort1</v>
      </c>
      <c r="C207" s="18">
        <v>3.657</v>
      </c>
      <c r="D207" s="8">
        <v>4.867</v>
      </c>
      <c r="E207" s="18">
        <v>3.5459999999999998</v>
      </c>
    </row>
    <row r="208" spans="1:5" x14ac:dyDescent="0.25">
      <c r="A208" t="s">
        <v>35</v>
      </c>
      <c r="B208" s="1" t="str">
        <f>HYPERLINK("http://www.ncbi.nlm.nih.gov/pubmed/?term=Chn2", "Chn2")</f>
        <v>Chn2</v>
      </c>
      <c r="C208" s="12">
        <v>-1.3939999999999999</v>
      </c>
      <c r="D208" s="8">
        <v>4.2039999999999997</v>
      </c>
      <c r="E208" s="12">
        <v>0.82669999999999999</v>
      </c>
    </row>
    <row r="209" spans="1:5" x14ac:dyDescent="0.25">
      <c r="A209" t="s">
        <v>922</v>
      </c>
      <c r="B209" s="1" t="str">
        <f>HYPERLINK("http://www.ncbi.nlm.nih.gov/pubmed/?term=Ano6", "Ano6")</f>
        <v>Ano6</v>
      </c>
      <c r="C209" s="18">
        <v>3.8519999999999999</v>
      </c>
      <c r="D209" s="8">
        <v>4.8860000000000001</v>
      </c>
      <c r="E209" s="18">
        <v>3.7029999999999998</v>
      </c>
    </row>
    <row r="210" spans="1:5" x14ac:dyDescent="0.25">
      <c r="A210" t="s">
        <v>283</v>
      </c>
      <c r="B210" s="1" t="str">
        <f>HYPERLINK("http://www.ncbi.nlm.nih.gov/pubmed/?term=Plek2", "Plek2")</f>
        <v>Plek2</v>
      </c>
      <c r="C210" s="6">
        <v>1.3240000000000001</v>
      </c>
      <c r="D210" s="8">
        <v>4.5659999999999998</v>
      </c>
      <c r="E210" s="16">
        <v>2.4750000000000001</v>
      </c>
    </row>
    <row r="211" spans="1:5" x14ac:dyDescent="0.25">
      <c r="A211" t="s">
        <v>2055</v>
      </c>
      <c r="B211" s="1" t="str">
        <f>HYPERLINK("http://www.ncbi.nlm.nih.gov/pubmed/?term=Gsto1", "Gsto1")</f>
        <v>Gsto1</v>
      </c>
      <c r="C211" s="12">
        <v>0.93149999999999999</v>
      </c>
      <c r="D211" s="8">
        <v>4.3369999999999997</v>
      </c>
      <c r="E211" s="6">
        <v>1.488</v>
      </c>
    </row>
    <row r="212" spans="1:5" x14ac:dyDescent="0.25">
      <c r="A212" t="s">
        <v>0</v>
      </c>
      <c r="B212" s="1" t="str">
        <f>HYPERLINK("http://www.ncbi.nlm.nih.gov/pubmed/?term=Ifi202b", "Ifi202b")</f>
        <v>Ifi202b</v>
      </c>
      <c r="C212" s="18">
        <v>3.4769999999999999</v>
      </c>
      <c r="D212" s="8">
        <v>4.7960000000000003</v>
      </c>
      <c r="E212" s="6">
        <v>1.6850000000000001</v>
      </c>
    </row>
    <row r="213" spans="1:5" x14ac:dyDescent="0.25">
      <c r="A213" t="s">
        <v>1498</v>
      </c>
      <c r="B213" s="1" t="str">
        <f>HYPERLINK("http://www.ncbi.nlm.nih.gov/pubmed/?term=2010111I01Rik", "2010111I01Rik")</f>
        <v>2010111I01Rik</v>
      </c>
      <c r="C213" s="16">
        <v>2.9020000000000001</v>
      </c>
      <c r="D213" s="8">
        <v>4.82</v>
      </c>
      <c r="E213" s="18">
        <v>3.5830000000000002</v>
      </c>
    </row>
    <row r="214" spans="1:5" x14ac:dyDescent="0.25">
      <c r="A214" t="s">
        <v>277</v>
      </c>
      <c r="B214" s="1" t="str">
        <f>HYPERLINK("http://www.ncbi.nlm.nih.gov/pubmed/?term=Pde1b", "Pde1b")</f>
        <v>Pde1b</v>
      </c>
      <c r="C214" s="16">
        <v>2.0070000000000001</v>
      </c>
      <c r="D214" s="8">
        <v>4.7039999999999997</v>
      </c>
      <c r="E214" s="18">
        <v>3.1</v>
      </c>
    </row>
    <row r="215" spans="1:5" x14ac:dyDescent="0.25">
      <c r="A215" t="s">
        <v>525</v>
      </c>
      <c r="B215" s="1" t="str">
        <f>HYPERLINK("http://www.ncbi.nlm.nih.gov/pubmed/?term=Antxr1", "Antxr1")</f>
        <v>Antxr1</v>
      </c>
      <c r="C215" s="18">
        <v>3.5459999999999998</v>
      </c>
      <c r="D215" s="8">
        <v>4.798</v>
      </c>
      <c r="E215" s="6">
        <v>1.163</v>
      </c>
    </row>
    <row r="216" spans="1:5" x14ac:dyDescent="0.25">
      <c r="A216" t="s">
        <v>1545</v>
      </c>
      <c r="B216" s="1" t="str">
        <f>HYPERLINK("http://www.ncbi.nlm.nih.gov/pubmed/?term=Fbn1", "Fbn1")</f>
        <v>Fbn1</v>
      </c>
      <c r="C216" s="16">
        <v>2.359</v>
      </c>
      <c r="D216" s="8">
        <v>4.5220000000000002</v>
      </c>
      <c r="E216" s="6">
        <v>1.6140000000000001</v>
      </c>
    </row>
    <row r="217" spans="1:5" x14ac:dyDescent="0.25">
      <c r="A217" t="s">
        <v>1440</v>
      </c>
      <c r="B217" s="1" t="str">
        <f>HYPERLINK("http://www.ncbi.nlm.nih.gov/pubmed/?term=Ltbp4", "Ltbp4")</f>
        <v>Ltbp4</v>
      </c>
      <c r="C217" s="12">
        <v>0.1371</v>
      </c>
      <c r="D217" s="8">
        <v>4.32</v>
      </c>
      <c r="E217" s="6">
        <v>1.5920000000000001</v>
      </c>
    </row>
    <row r="218" spans="1:5" x14ac:dyDescent="0.25">
      <c r="A218" t="s">
        <v>34</v>
      </c>
      <c r="B218" s="1" t="str">
        <f>HYPERLINK("http://www.ncbi.nlm.nih.gov/pubmed/?term=L1cam", "L1cam")</f>
        <v>L1cam</v>
      </c>
      <c r="C218" s="12">
        <v>-2.0190000000000001</v>
      </c>
      <c r="D218" s="8">
        <v>4.4619999999999997</v>
      </c>
      <c r="E218" s="16">
        <v>2.2490000000000001</v>
      </c>
    </row>
    <row r="219" spans="1:5" x14ac:dyDescent="0.25">
      <c r="A219" t="s">
        <v>1903</v>
      </c>
      <c r="B219" s="1" t="str">
        <f>HYPERLINK("http://www.ncbi.nlm.nih.gov/pubmed/?term=Tnfsf10", "Tnfsf10")</f>
        <v>Tnfsf10</v>
      </c>
      <c r="C219" s="12">
        <v>-0.31380000000000002</v>
      </c>
      <c r="D219" s="8">
        <v>4.351</v>
      </c>
      <c r="E219" s="6">
        <v>1.8069999999999999</v>
      </c>
    </row>
    <row r="220" spans="1:5" x14ac:dyDescent="0.25">
      <c r="A220" t="s">
        <v>61</v>
      </c>
      <c r="B220" s="1" t="str">
        <f>HYPERLINK("http://www.ncbi.nlm.nih.gov/pubmed/?term=Nov", "Nov")</f>
        <v>Nov</v>
      </c>
      <c r="C220" s="12">
        <v>-3.863</v>
      </c>
      <c r="D220" s="18">
        <v>3.93</v>
      </c>
      <c r="E220" s="12">
        <v>-0.80830000000000002</v>
      </c>
    </row>
    <row r="221" spans="1:5" x14ac:dyDescent="0.25">
      <c r="A221" t="s">
        <v>885</v>
      </c>
      <c r="B221" s="1" t="str">
        <f>HYPERLINK("http://www.ncbi.nlm.nih.gov/pubmed/?term=Slc44a2", "Slc44a2")</f>
        <v>Slc44a2</v>
      </c>
      <c r="C221" s="16">
        <v>2.9630000000000001</v>
      </c>
      <c r="D221" s="8">
        <v>4.6050000000000004</v>
      </c>
      <c r="E221" s="6">
        <v>1.8149999999999999</v>
      </c>
    </row>
    <row r="222" spans="1:5" x14ac:dyDescent="0.25">
      <c r="A222" t="s">
        <v>651</v>
      </c>
      <c r="B222" s="1" t="str">
        <f>HYPERLINK("http://www.ncbi.nlm.nih.gov/pubmed/?term=Gpr126", "Gpr126")</f>
        <v>Gpr126</v>
      </c>
      <c r="C222" s="12">
        <v>-0.66839999999999999</v>
      </c>
      <c r="D222" s="8">
        <v>4.45</v>
      </c>
      <c r="E222" s="16">
        <v>2.2999999999999998</v>
      </c>
    </row>
    <row r="223" spans="1:5" x14ac:dyDescent="0.25">
      <c r="A223" t="s">
        <v>1793</v>
      </c>
      <c r="B223" s="1" t="str">
        <f>HYPERLINK("http://www.ncbi.nlm.nih.gov/pubmed/?term=Galnt14", "Galnt14")</f>
        <v>Galnt14</v>
      </c>
      <c r="C223" s="12">
        <v>0.2409</v>
      </c>
      <c r="D223" s="18">
        <v>3.968</v>
      </c>
      <c r="E223" s="12">
        <v>-0.51659999999999995</v>
      </c>
    </row>
    <row r="224" spans="1:5" x14ac:dyDescent="0.25">
      <c r="A224" t="s">
        <v>618</v>
      </c>
      <c r="B224" s="1" t="str">
        <f>HYPERLINK("http://www.ncbi.nlm.nih.gov/pubmed/?term=Slfn2", "Slfn2")</f>
        <v>Slfn2</v>
      </c>
      <c r="C224" s="16">
        <v>2.3279999999999998</v>
      </c>
      <c r="D224" s="8">
        <v>4.6040000000000001</v>
      </c>
      <c r="E224" s="18">
        <v>3.0259999999999998</v>
      </c>
    </row>
    <row r="225" spans="1:5" x14ac:dyDescent="0.25">
      <c r="A225" t="s">
        <v>954</v>
      </c>
      <c r="B225" s="1" t="str">
        <f>HYPERLINK("http://www.ncbi.nlm.nih.gov/pubmed/?term=Pth", "Pth")</f>
        <v>Pth</v>
      </c>
      <c r="C225" s="6">
        <v>1.0820000000000001</v>
      </c>
      <c r="D225" s="8">
        <v>4.1509999999999998</v>
      </c>
      <c r="E225" s="12">
        <v>-1.1459999999999999</v>
      </c>
    </row>
    <row r="226" spans="1:5" x14ac:dyDescent="0.25">
      <c r="A226" t="s">
        <v>1589</v>
      </c>
      <c r="B226" s="1" t="str">
        <f>HYPERLINK("http://www.ncbi.nlm.nih.gov/pubmed/?term=Kcnq3", "Kcnq3")</f>
        <v>Kcnq3</v>
      </c>
      <c r="C226" s="12">
        <v>-0.78839999999999999</v>
      </c>
      <c r="D226" s="8">
        <v>4.476</v>
      </c>
      <c r="E226" s="16">
        <v>2.5499999999999998</v>
      </c>
    </row>
    <row r="227" spans="1:5" x14ac:dyDescent="0.25">
      <c r="A227" t="s">
        <v>297</v>
      </c>
      <c r="B227" s="1" t="str">
        <f>HYPERLINK("http://www.ncbi.nlm.nih.gov/pubmed/?term=Lbp", "Lbp")</f>
        <v>Lbp</v>
      </c>
      <c r="C227" s="12">
        <v>-2.4009999999999998</v>
      </c>
      <c r="D227" s="8">
        <v>4.0940000000000003</v>
      </c>
      <c r="E227" s="12">
        <v>0.90300000000000002</v>
      </c>
    </row>
    <row r="228" spans="1:5" x14ac:dyDescent="0.25">
      <c r="A228" t="s">
        <v>519</v>
      </c>
      <c r="B228" s="1" t="str">
        <f>HYPERLINK("http://www.ncbi.nlm.nih.gov/pubmed/?term=Txndc16", "Txndc16")</f>
        <v>Txndc16</v>
      </c>
      <c r="C228" s="16">
        <v>2.827</v>
      </c>
      <c r="D228" s="8">
        <v>4.5199999999999996</v>
      </c>
      <c r="E228" s="6">
        <v>1.5669999999999999</v>
      </c>
    </row>
    <row r="229" spans="1:5" x14ac:dyDescent="0.25">
      <c r="A229" t="s">
        <v>1816</v>
      </c>
      <c r="B229" s="1" t="str">
        <f>HYPERLINK("http://www.ncbi.nlm.nih.gov/pubmed/?term=Fam193b", "Fam193b")</f>
        <v>Fam193b</v>
      </c>
      <c r="C229" s="18">
        <v>3.714</v>
      </c>
      <c r="D229" s="8">
        <v>4.7190000000000003</v>
      </c>
      <c r="E229" s="18">
        <v>3.5960000000000001</v>
      </c>
    </row>
    <row r="230" spans="1:5" x14ac:dyDescent="0.25">
      <c r="A230" t="s">
        <v>2019</v>
      </c>
      <c r="B230" s="1" t="str">
        <f>HYPERLINK("http://www.ncbi.nlm.nih.gov/pubmed/?term=Gpr56", "Gpr56")</f>
        <v>Gpr56</v>
      </c>
      <c r="C230" s="6">
        <v>1.6579999999999999</v>
      </c>
      <c r="D230" s="8">
        <v>4.3360000000000003</v>
      </c>
      <c r="E230" s="16">
        <v>2.073</v>
      </c>
    </row>
    <row r="231" spans="1:5" x14ac:dyDescent="0.25">
      <c r="A231" t="s">
        <v>93</v>
      </c>
      <c r="B231" s="1" t="str">
        <f>HYPERLINK("http://www.ncbi.nlm.nih.gov/pubmed/?term=Krt77", "Krt77")</f>
        <v>Krt77</v>
      </c>
      <c r="C231" s="12">
        <v>-1.119</v>
      </c>
      <c r="D231" s="8">
        <v>4.7030000000000003</v>
      </c>
      <c r="E231" s="18">
        <v>3.6629999999999998</v>
      </c>
    </row>
    <row r="232" spans="1:5" x14ac:dyDescent="0.25">
      <c r="A232" t="s">
        <v>1117</v>
      </c>
      <c r="B232" s="1" t="str">
        <f>HYPERLINK("http://www.ncbi.nlm.nih.gov/pubmed/?term=Ccl6", "Ccl6")</f>
        <v>Ccl6</v>
      </c>
      <c r="C232" s="12">
        <v>-2.7919999999999998</v>
      </c>
      <c r="D232" s="8">
        <v>4.2039999999999997</v>
      </c>
      <c r="E232" s="6">
        <v>1.522</v>
      </c>
    </row>
    <row r="233" spans="1:5" x14ac:dyDescent="0.25">
      <c r="A233" t="s">
        <v>593</v>
      </c>
      <c r="B233" s="1" t="str">
        <f>HYPERLINK("http://www.ncbi.nlm.nih.gov/pubmed/?term=Upp1", "Upp1")</f>
        <v>Upp1</v>
      </c>
      <c r="C233" s="12">
        <v>-2.0529999999999999</v>
      </c>
      <c r="D233" s="8">
        <v>4.1429999999999998</v>
      </c>
      <c r="E233" s="6">
        <v>1.3340000000000001</v>
      </c>
    </row>
    <row r="234" spans="1:5" x14ac:dyDescent="0.25">
      <c r="A234" t="s">
        <v>52</v>
      </c>
      <c r="B234" s="1" t="str">
        <f>HYPERLINK("http://www.ncbi.nlm.nih.gov/pubmed/?term=Tas2r108", "Tas2r108")</f>
        <v>Tas2r108</v>
      </c>
      <c r="C234" s="12">
        <v>-4.0609999999999999</v>
      </c>
      <c r="D234" s="18">
        <v>3.8319999999999999</v>
      </c>
      <c r="E234" s="12">
        <v>-0.82050000000000001</v>
      </c>
    </row>
    <row r="235" spans="1:5" x14ac:dyDescent="0.25">
      <c r="A235" t="s">
        <v>310</v>
      </c>
      <c r="B235" s="1" t="str">
        <f>HYPERLINK("http://www.ncbi.nlm.nih.gov/pubmed/?term=Slc12a7", "Slc12a7")</f>
        <v>Slc12a7</v>
      </c>
      <c r="C235" s="18">
        <v>3.5979999999999999</v>
      </c>
      <c r="D235" s="8">
        <v>4.6630000000000003</v>
      </c>
      <c r="E235" s="18">
        <v>3.294</v>
      </c>
    </row>
    <row r="236" spans="1:5" x14ac:dyDescent="0.25">
      <c r="A236" t="s">
        <v>799</v>
      </c>
      <c r="B236" s="1" t="str">
        <f>HYPERLINK("http://www.ncbi.nlm.nih.gov/pubmed/?term=Trp53i11", "Trp53i11")</f>
        <v>Trp53i11</v>
      </c>
      <c r="C236" s="16">
        <v>2.6520000000000001</v>
      </c>
      <c r="D236" s="8">
        <v>4.6449999999999996</v>
      </c>
      <c r="E236" s="18">
        <v>3.5209999999999999</v>
      </c>
    </row>
    <row r="237" spans="1:5" x14ac:dyDescent="0.25">
      <c r="A237" t="s">
        <v>1566</v>
      </c>
      <c r="B237" s="1" t="str">
        <f>HYPERLINK("http://www.ncbi.nlm.nih.gov/pubmed/?term=Car7", "Car7")</f>
        <v>Car7</v>
      </c>
      <c r="C237" s="12">
        <v>-3.03</v>
      </c>
      <c r="D237" s="8">
        <v>4.0609999999999999</v>
      </c>
      <c r="E237" s="6">
        <v>1.0329999999999999</v>
      </c>
    </row>
    <row r="238" spans="1:5" x14ac:dyDescent="0.25">
      <c r="A238" t="s">
        <v>1031</v>
      </c>
      <c r="B238" s="1" t="str">
        <f>HYPERLINK("http://www.ncbi.nlm.nih.gov/pubmed/?term=Gpc2", "Gpc2")</f>
        <v>Gpc2</v>
      </c>
      <c r="C238" s="16">
        <v>2.5680000000000001</v>
      </c>
      <c r="D238" s="8">
        <v>4.4109999999999996</v>
      </c>
      <c r="E238" s="6">
        <v>1.5109999999999999</v>
      </c>
    </row>
    <row r="239" spans="1:5" x14ac:dyDescent="0.25">
      <c r="A239" t="s">
        <v>1895</v>
      </c>
      <c r="B239" s="1" t="str">
        <f>HYPERLINK("http://www.ncbi.nlm.nih.gov/pubmed/?term=Klk1", "Klk1")</f>
        <v>Klk1</v>
      </c>
      <c r="C239" s="12">
        <v>-2.8170000000000002</v>
      </c>
      <c r="D239" s="8">
        <v>4.4480000000000004</v>
      </c>
      <c r="E239" s="16">
        <v>2.7440000000000002</v>
      </c>
    </row>
    <row r="240" spans="1:5" x14ac:dyDescent="0.25">
      <c r="A240" t="s">
        <v>808</v>
      </c>
      <c r="B240" s="1" t="str">
        <f>HYPERLINK("http://www.ncbi.nlm.nih.gov/pubmed/?term=Slfn5", "Slfn5")</f>
        <v>Slfn5</v>
      </c>
      <c r="C240" s="6">
        <v>1.891</v>
      </c>
      <c r="D240" s="8">
        <v>4.2430000000000003</v>
      </c>
      <c r="E240" s="12">
        <v>-0.21609999999999999</v>
      </c>
    </row>
    <row r="241" spans="1:5" x14ac:dyDescent="0.25">
      <c r="A241" t="s">
        <v>1705</v>
      </c>
      <c r="B241" s="1" t="str">
        <f>HYPERLINK("http://www.ncbi.nlm.nih.gov/pubmed/?term=Car8", "Car8")</f>
        <v>Car8</v>
      </c>
      <c r="C241" s="12">
        <v>-3.1269999999999998</v>
      </c>
      <c r="D241" s="8">
        <v>4.0190000000000001</v>
      </c>
      <c r="E241" s="12">
        <v>0.9325</v>
      </c>
    </row>
    <row r="242" spans="1:5" x14ac:dyDescent="0.25">
      <c r="A242" t="s">
        <v>992</v>
      </c>
      <c r="B242" s="1" t="str">
        <f>HYPERLINK("http://www.ncbi.nlm.nih.gov/pubmed/?term=Ifi204", "Ifi204")</f>
        <v>Ifi204</v>
      </c>
      <c r="C242" s="6">
        <v>1.151</v>
      </c>
      <c r="D242" s="8">
        <v>4.0679999999999996</v>
      </c>
      <c r="E242" s="12">
        <v>0.88690000000000002</v>
      </c>
    </row>
    <row r="243" spans="1:5" x14ac:dyDescent="0.25">
      <c r="A243" t="s">
        <v>24</v>
      </c>
      <c r="B243" s="1" t="str">
        <f>HYPERLINK("http://www.ncbi.nlm.nih.gov/pubmed/?term=Ube2ql1", "Ube2ql1")</f>
        <v>Ube2ql1</v>
      </c>
      <c r="C243" s="12">
        <v>0.60460000000000003</v>
      </c>
      <c r="D243" s="8">
        <v>4.5110000000000001</v>
      </c>
      <c r="E243" s="18">
        <v>3.0750000000000002</v>
      </c>
    </row>
    <row r="244" spans="1:5" x14ac:dyDescent="0.25">
      <c r="A244" t="s">
        <v>1038</v>
      </c>
      <c r="B244" s="1" t="str">
        <f>HYPERLINK("http://www.ncbi.nlm.nih.gov/pubmed/?term=Ly6g6f", "Ly6g6f")</f>
        <v>Ly6g6f</v>
      </c>
      <c r="C244" s="12">
        <v>-5.5970000000000004</v>
      </c>
      <c r="D244" s="18">
        <v>3.7850000000000001</v>
      </c>
      <c r="E244" s="12">
        <v>-0.57879999999999998</v>
      </c>
    </row>
    <row r="245" spans="1:5" x14ac:dyDescent="0.25">
      <c r="A245" t="s">
        <v>367</v>
      </c>
      <c r="B245" s="1" t="str">
        <f>HYPERLINK("http://www.ncbi.nlm.nih.gov/pubmed/?term=Chgb", "Chgb")</f>
        <v>Chgb</v>
      </c>
      <c r="C245" s="12">
        <v>-2.7810000000000001</v>
      </c>
      <c r="D245" s="18">
        <v>3.7759999999999998</v>
      </c>
      <c r="E245" s="12">
        <v>-0.58009999999999995</v>
      </c>
    </row>
    <row r="246" spans="1:5" x14ac:dyDescent="0.25">
      <c r="A246" t="s">
        <v>31</v>
      </c>
      <c r="B246" s="1" t="str">
        <f>HYPERLINK("http://www.ncbi.nlm.nih.gov/pubmed/?term=Gpx2", "Gpx2")</f>
        <v>Gpx2</v>
      </c>
      <c r="C246" s="12">
        <v>-2.39</v>
      </c>
      <c r="D246" s="18">
        <v>3.8090000000000002</v>
      </c>
      <c r="E246" s="12">
        <v>0.15479999999999999</v>
      </c>
    </row>
    <row r="247" spans="1:5" x14ac:dyDescent="0.25">
      <c r="A247" t="s">
        <v>250</v>
      </c>
      <c r="B247" s="1" t="str">
        <f>HYPERLINK("http://www.ncbi.nlm.nih.gov/pubmed/?term=Il25", "Il25")</f>
        <v>Il25</v>
      </c>
      <c r="C247" s="12">
        <v>-3.1030000000000002</v>
      </c>
      <c r="D247" s="18">
        <v>3.8180000000000001</v>
      </c>
      <c r="E247" s="12">
        <v>0.19889999999999999</v>
      </c>
    </row>
    <row r="248" spans="1:5" x14ac:dyDescent="0.25">
      <c r="A248" t="s">
        <v>696</v>
      </c>
      <c r="B248" s="1" t="str">
        <f>HYPERLINK("http://www.ncbi.nlm.nih.gov/pubmed/?term=Acta1", "Acta1")</f>
        <v>Acta1</v>
      </c>
      <c r="C248" s="12">
        <v>-2.16</v>
      </c>
      <c r="D248" s="18">
        <v>3.7709999999999999</v>
      </c>
      <c r="E248" s="12">
        <v>-0.45879999999999999</v>
      </c>
    </row>
    <row r="249" spans="1:5" x14ac:dyDescent="0.25">
      <c r="A249" t="s">
        <v>1894</v>
      </c>
      <c r="B249" s="1" t="str">
        <f>HYPERLINK("http://www.ncbi.nlm.nih.gov/pubmed/?term=Ifitm1", "Ifitm1")</f>
        <v>Ifitm1</v>
      </c>
      <c r="C249" s="12">
        <v>-0.2868</v>
      </c>
      <c r="D249" s="8">
        <v>4.0910000000000002</v>
      </c>
      <c r="E249" s="6">
        <v>1.391</v>
      </c>
    </row>
    <row r="250" spans="1:5" x14ac:dyDescent="0.25">
      <c r="A250" t="s">
        <v>451</v>
      </c>
      <c r="B250" s="1" t="str">
        <f>HYPERLINK("http://www.ncbi.nlm.nih.gov/pubmed/?term=Robo2", "Robo2")</f>
        <v>Robo2</v>
      </c>
      <c r="C250" s="12">
        <v>4.4299999999999999E-2</v>
      </c>
      <c r="D250" s="8">
        <v>4.2210000000000001</v>
      </c>
      <c r="E250" s="6">
        <v>1.956</v>
      </c>
    </row>
    <row r="251" spans="1:5" x14ac:dyDescent="0.25">
      <c r="A251" t="s">
        <v>878</v>
      </c>
      <c r="B251" s="1" t="str">
        <f>HYPERLINK("http://www.ncbi.nlm.nih.gov/pubmed/?term=Fbxo25", "Fbxo25")</f>
        <v>Fbxo25</v>
      </c>
      <c r="C251" s="18">
        <v>3.41</v>
      </c>
      <c r="D251" s="8">
        <v>4.5640000000000001</v>
      </c>
      <c r="E251" s="18">
        <v>3.4529999999999998</v>
      </c>
    </row>
    <row r="252" spans="1:5" x14ac:dyDescent="0.25">
      <c r="A252" t="s">
        <v>705</v>
      </c>
      <c r="B252" s="1" t="str">
        <f>HYPERLINK("http://www.ncbi.nlm.nih.gov/pubmed/?term=Gm5887", "Gm5887")</f>
        <v>Gm5887</v>
      </c>
      <c r="C252" s="12">
        <v>0.95389999999999997</v>
      </c>
      <c r="D252" s="18">
        <v>3.9569999999999999</v>
      </c>
      <c r="E252" s="12">
        <v>0.5262</v>
      </c>
    </row>
    <row r="253" spans="1:5" x14ac:dyDescent="0.25">
      <c r="A253" t="s">
        <v>144</v>
      </c>
      <c r="B253" s="1" t="str">
        <f>HYPERLINK("http://www.ncbi.nlm.nih.gov/pubmed/?term=Ltf", "Ltf")</f>
        <v>Ltf</v>
      </c>
      <c r="C253" s="12">
        <v>-1.7569999999999999</v>
      </c>
      <c r="D253" s="18">
        <v>3.7290000000000001</v>
      </c>
      <c r="E253" s="12">
        <v>-1.022</v>
      </c>
    </row>
    <row r="254" spans="1:5" x14ac:dyDescent="0.25">
      <c r="A254" t="s">
        <v>1646</v>
      </c>
      <c r="B254" s="1" t="str">
        <f>HYPERLINK("http://www.ncbi.nlm.nih.gov/pubmed/?term=Adcy2", "Adcy2")</f>
        <v>Adcy2</v>
      </c>
      <c r="C254" s="12">
        <v>-4.4480000000000004</v>
      </c>
      <c r="D254" s="18">
        <v>3.7269999999999999</v>
      </c>
      <c r="E254" s="12">
        <v>-0.52180000000000004</v>
      </c>
    </row>
    <row r="255" spans="1:5" x14ac:dyDescent="0.25">
      <c r="A255" t="s">
        <v>1489</v>
      </c>
      <c r="B255" s="1" t="str">
        <f>HYPERLINK("http://www.ncbi.nlm.nih.gov/pubmed/?term=F3", "F3")</f>
        <v>F3</v>
      </c>
      <c r="C255" s="16">
        <v>2.4660000000000002</v>
      </c>
      <c r="D255" s="8">
        <v>4.2960000000000003</v>
      </c>
      <c r="E255" s="12">
        <v>-1.4930000000000001</v>
      </c>
    </row>
    <row r="256" spans="1:5" x14ac:dyDescent="0.25">
      <c r="A256" t="s">
        <v>15</v>
      </c>
      <c r="B256" s="1" t="str">
        <f>HYPERLINK("http://www.ncbi.nlm.nih.gov/pubmed/?term=Tas2r117", "Tas2r117")</f>
        <v>Tas2r117</v>
      </c>
      <c r="C256" s="12">
        <v>-5.6849999999999996</v>
      </c>
      <c r="D256" s="18">
        <v>3.7250000000000001</v>
      </c>
      <c r="E256" s="12">
        <v>-1.2470000000000001</v>
      </c>
    </row>
    <row r="257" spans="1:5" x14ac:dyDescent="0.25">
      <c r="A257" t="s">
        <v>495</v>
      </c>
      <c r="B257" s="1" t="str">
        <f>HYPERLINK("http://www.ncbi.nlm.nih.gov/pubmed/?term=Ghrl", "Ghrl")</f>
        <v>Ghrl</v>
      </c>
      <c r="C257" s="12">
        <v>-1.431</v>
      </c>
      <c r="D257" s="18">
        <v>3.7240000000000002</v>
      </c>
      <c r="E257" s="12">
        <v>-0.32519999999999999</v>
      </c>
    </row>
    <row r="258" spans="1:5" x14ac:dyDescent="0.25">
      <c r="A258" t="s">
        <v>2025</v>
      </c>
      <c r="B258" s="1" t="str">
        <f>HYPERLINK("http://www.ncbi.nlm.nih.gov/pubmed/?term=Kalrn", "Kalrn")</f>
        <v>Kalrn</v>
      </c>
      <c r="C258" s="18">
        <v>3.1680000000000001</v>
      </c>
      <c r="D258" s="8">
        <v>4.5259999999999998</v>
      </c>
      <c r="E258" s="18">
        <v>3.4950000000000001</v>
      </c>
    </row>
    <row r="259" spans="1:5" x14ac:dyDescent="0.25">
      <c r="A259" t="s">
        <v>702</v>
      </c>
      <c r="B259" s="1" t="str">
        <f>HYPERLINK("http://www.ncbi.nlm.nih.gov/pubmed/?term=Ecscr", "Ecscr")</f>
        <v>Ecscr</v>
      </c>
      <c r="C259" s="16">
        <v>2.0489999999999999</v>
      </c>
      <c r="D259" s="8">
        <v>4.2130000000000001</v>
      </c>
      <c r="E259" s="16">
        <v>2.1459999999999999</v>
      </c>
    </row>
    <row r="260" spans="1:5" x14ac:dyDescent="0.25">
      <c r="A260" t="s">
        <v>863</v>
      </c>
      <c r="B260" s="1" t="str">
        <f>HYPERLINK("http://www.ncbi.nlm.nih.gov/pubmed/?term=Car2", "Car2")</f>
        <v>Car2</v>
      </c>
      <c r="C260" s="12">
        <v>-2.847</v>
      </c>
      <c r="D260" s="18">
        <v>3.7280000000000002</v>
      </c>
      <c r="E260" s="12">
        <v>5.5149999999999998E-2</v>
      </c>
    </row>
    <row r="261" spans="1:5" x14ac:dyDescent="0.25">
      <c r="A261" t="s">
        <v>1677</v>
      </c>
      <c r="B261" s="1" t="str">
        <f>HYPERLINK("http://www.ncbi.nlm.nih.gov/pubmed/?term=Cdh2", "Cdh2")</f>
        <v>Cdh2</v>
      </c>
      <c r="C261" s="6">
        <v>1.4219999999999999</v>
      </c>
      <c r="D261" s="8">
        <v>4.4189999999999996</v>
      </c>
      <c r="E261" s="18">
        <v>3.0720000000000001</v>
      </c>
    </row>
    <row r="262" spans="1:5" x14ac:dyDescent="0.25">
      <c r="A262" t="s">
        <v>431</v>
      </c>
      <c r="B262" s="1" t="str">
        <f>HYPERLINK("http://www.ncbi.nlm.nih.gov/pubmed/?term=Krt1", "Krt1")</f>
        <v>Krt1</v>
      </c>
      <c r="C262" s="12">
        <v>-2.3580000000000001</v>
      </c>
      <c r="D262" s="8">
        <v>4.0279999999999996</v>
      </c>
      <c r="E262" s="6">
        <v>1.385</v>
      </c>
    </row>
    <row r="263" spans="1:5" x14ac:dyDescent="0.25">
      <c r="A263" t="s">
        <v>910</v>
      </c>
      <c r="B263" s="1" t="str">
        <f>HYPERLINK("http://www.ncbi.nlm.nih.gov/pubmed/?term=Scara3", "Scara3")</f>
        <v>Scara3</v>
      </c>
      <c r="C263" s="12">
        <v>-0.17230000000000001</v>
      </c>
      <c r="D263" s="18">
        <v>3.956</v>
      </c>
      <c r="E263" s="6">
        <v>1.0860000000000001</v>
      </c>
    </row>
    <row r="264" spans="1:5" x14ac:dyDescent="0.25">
      <c r="A264" t="s">
        <v>1982</v>
      </c>
      <c r="B264" s="1" t="str">
        <f>HYPERLINK("http://www.ncbi.nlm.nih.gov/pubmed/?term=Ly6c1", "Ly6c1")</f>
        <v>Ly6c1</v>
      </c>
      <c r="C264" s="12">
        <v>-0.93159999999999998</v>
      </c>
      <c r="D264" s="18">
        <v>3.9990000000000001</v>
      </c>
      <c r="E264" s="6">
        <v>1.288</v>
      </c>
    </row>
    <row r="265" spans="1:5" x14ac:dyDescent="0.25">
      <c r="A265" t="s">
        <v>1483</v>
      </c>
      <c r="B265" s="1" t="str">
        <f>HYPERLINK("http://www.ncbi.nlm.nih.gov/pubmed/?term=Cdhr2", "Cdhr2")</f>
        <v>Cdhr2</v>
      </c>
      <c r="C265" s="12">
        <v>-3.8290000000000002</v>
      </c>
      <c r="D265" s="8">
        <v>4.0119999999999996</v>
      </c>
      <c r="E265" s="6">
        <v>1.3939999999999999</v>
      </c>
    </row>
    <row r="266" spans="1:5" x14ac:dyDescent="0.25">
      <c r="A266" t="s">
        <v>441</v>
      </c>
      <c r="B266" s="1" t="str">
        <f>HYPERLINK("http://www.ncbi.nlm.nih.gov/pubmed/?term=Spnb3", "Spnb3")</f>
        <v>Spnb3</v>
      </c>
      <c r="C266" s="12">
        <v>-2.355</v>
      </c>
      <c r="D266" s="18">
        <v>3.7759999999999998</v>
      </c>
      <c r="E266" s="12">
        <v>0.3871</v>
      </c>
    </row>
    <row r="267" spans="1:5" x14ac:dyDescent="0.25">
      <c r="A267" t="s">
        <v>1855</v>
      </c>
      <c r="B267" s="1" t="str">
        <f>HYPERLINK("http://www.ncbi.nlm.nih.gov/pubmed/?term=Pgf", "Pgf")</f>
        <v>Pgf</v>
      </c>
      <c r="C267" s="12">
        <v>-2.4889999999999999</v>
      </c>
      <c r="D267" s="18">
        <v>3.9620000000000002</v>
      </c>
      <c r="E267" s="6">
        <v>1.2070000000000001</v>
      </c>
    </row>
    <row r="268" spans="1:5" x14ac:dyDescent="0.25">
      <c r="A268" t="s">
        <v>57</v>
      </c>
      <c r="B268" s="1" t="str">
        <f>HYPERLINK("http://www.ncbi.nlm.nih.gov/pubmed/?term=Tead2", "Tead2")</f>
        <v>Tead2</v>
      </c>
      <c r="C268" s="6">
        <v>1.0660000000000001</v>
      </c>
      <c r="D268" s="8">
        <v>4.0060000000000002</v>
      </c>
      <c r="E268" s="6">
        <v>1.4219999999999999</v>
      </c>
    </row>
    <row r="269" spans="1:5" x14ac:dyDescent="0.25">
      <c r="A269" t="s">
        <v>1177</v>
      </c>
      <c r="B269" s="1" t="str">
        <f>HYPERLINK("http://www.ncbi.nlm.nih.gov/pubmed/?term=Chdh", "Chdh")</f>
        <v>Chdh</v>
      </c>
      <c r="C269" s="12">
        <v>0.78239999999999998</v>
      </c>
      <c r="D269" s="8">
        <v>4.2830000000000004</v>
      </c>
      <c r="E269" s="16">
        <v>2.6349999999999998</v>
      </c>
    </row>
    <row r="270" spans="1:5" x14ac:dyDescent="0.25">
      <c r="A270" t="s">
        <v>1137</v>
      </c>
      <c r="B270" s="1" t="str">
        <f>HYPERLINK("http://www.ncbi.nlm.nih.gov/pubmed/?term=Col6a4", "Col6a4")</f>
        <v>Col6a4</v>
      </c>
      <c r="C270" s="12">
        <v>-1.75</v>
      </c>
      <c r="D270" s="8">
        <v>4.1079999999999997</v>
      </c>
      <c r="E270" s="6">
        <v>1.897</v>
      </c>
    </row>
    <row r="271" spans="1:5" x14ac:dyDescent="0.25">
      <c r="A271" t="s">
        <v>930</v>
      </c>
      <c r="B271" s="1" t="str">
        <f>HYPERLINK("http://www.ncbi.nlm.nih.gov/pubmed/?term=Fam183b", "Fam183b")</f>
        <v>Fam183b</v>
      </c>
      <c r="C271" s="12">
        <v>-3.4540000000000002</v>
      </c>
      <c r="D271" s="18">
        <v>3.7440000000000002</v>
      </c>
      <c r="E271" s="12">
        <v>0.3256</v>
      </c>
    </row>
    <row r="272" spans="1:5" x14ac:dyDescent="0.25">
      <c r="A272" t="s">
        <v>2004</v>
      </c>
      <c r="B272" s="1" t="str">
        <f>HYPERLINK("http://www.ncbi.nlm.nih.gov/pubmed/?term=Klf5", "Klf5")</f>
        <v>Klf5</v>
      </c>
      <c r="C272" s="12">
        <v>0.72550000000000003</v>
      </c>
      <c r="D272" s="8">
        <v>4.1230000000000002</v>
      </c>
      <c r="E272" s="16">
        <v>2.0019999999999998</v>
      </c>
    </row>
    <row r="273" spans="1:5" x14ac:dyDescent="0.25">
      <c r="A273" t="s">
        <v>41</v>
      </c>
      <c r="B273" s="1" t="str">
        <f>HYPERLINK("http://www.ncbi.nlm.nih.gov/pubmed/?term=Trim30a", "Trim30a")</f>
        <v>Trim30a</v>
      </c>
      <c r="C273" s="16">
        <v>2.61</v>
      </c>
      <c r="D273" s="8">
        <v>4.3230000000000004</v>
      </c>
      <c r="E273" s="16">
        <v>2.891</v>
      </c>
    </row>
    <row r="274" spans="1:5" x14ac:dyDescent="0.25">
      <c r="A274" t="s">
        <v>2016</v>
      </c>
      <c r="B274" s="1" t="str">
        <f>HYPERLINK("http://www.ncbi.nlm.nih.gov/pubmed/?term=Matn1", "Matn1")</f>
        <v>Matn1</v>
      </c>
      <c r="C274" s="12">
        <v>-6.407</v>
      </c>
      <c r="D274" s="8">
        <v>4.3239999999999998</v>
      </c>
      <c r="E274" s="16">
        <v>2.9169999999999998</v>
      </c>
    </row>
    <row r="275" spans="1:5" x14ac:dyDescent="0.25">
      <c r="A275" t="s">
        <v>695</v>
      </c>
      <c r="B275" s="1" t="str">
        <f>HYPERLINK("http://www.ncbi.nlm.nih.gov/pubmed/?term=Apoc1", "Apoc1")</f>
        <v>Apoc1</v>
      </c>
      <c r="C275" s="16">
        <v>2.262</v>
      </c>
      <c r="D275" s="8">
        <v>4.2370000000000001</v>
      </c>
      <c r="E275" s="16">
        <v>2.5449999999999999</v>
      </c>
    </row>
    <row r="276" spans="1:5" x14ac:dyDescent="0.25">
      <c r="A276" t="s">
        <v>1413</v>
      </c>
      <c r="B276" s="1" t="str">
        <f>HYPERLINK("http://www.ncbi.nlm.nih.gov/pubmed/?term=Plekho1", "Plekho1")</f>
        <v>Plekho1</v>
      </c>
      <c r="C276" s="16">
        <v>2.2759999999999998</v>
      </c>
      <c r="D276" s="8">
        <v>4.1749999999999998</v>
      </c>
      <c r="E276" s="6">
        <v>1.8120000000000001</v>
      </c>
    </row>
    <row r="277" spans="1:5" x14ac:dyDescent="0.25">
      <c r="A277" t="s">
        <v>980</v>
      </c>
      <c r="B277" s="1" t="str">
        <f>HYPERLINK("http://www.ncbi.nlm.nih.gov/pubmed/?term=Mfsd6", "Mfsd6")</f>
        <v>Mfsd6</v>
      </c>
      <c r="C277" s="6">
        <v>1.8049999999999999</v>
      </c>
      <c r="D277" s="8">
        <v>4.4059999999999997</v>
      </c>
      <c r="E277" s="18">
        <v>3.2949999999999999</v>
      </c>
    </row>
    <row r="278" spans="1:5" x14ac:dyDescent="0.25">
      <c r="A278" t="s">
        <v>1693</v>
      </c>
      <c r="B278" s="1" t="str">
        <f>HYPERLINK("http://www.ncbi.nlm.nih.gov/pubmed/?term=Jag1", "Jag1")</f>
        <v>Jag1</v>
      </c>
      <c r="C278" s="16">
        <v>2.1429999999999998</v>
      </c>
      <c r="D278" s="8">
        <v>4.3529999999999998</v>
      </c>
      <c r="E278" s="18">
        <v>3.0750000000000002</v>
      </c>
    </row>
    <row r="279" spans="1:5" x14ac:dyDescent="0.25">
      <c r="A279" t="s">
        <v>361</v>
      </c>
      <c r="B279" s="1" t="str">
        <f>HYPERLINK("http://www.ncbi.nlm.nih.gov/pubmed/?term=Ngfr", "Ngfr")</f>
        <v>Ngfr</v>
      </c>
      <c r="C279" s="16">
        <v>2.4420000000000002</v>
      </c>
      <c r="D279" s="8">
        <v>4.2039999999999997</v>
      </c>
      <c r="E279" s="6">
        <v>1.3340000000000001</v>
      </c>
    </row>
    <row r="280" spans="1:5" x14ac:dyDescent="0.25">
      <c r="A280" t="s">
        <v>881</v>
      </c>
      <c r="B280" s="1" t="str">
        <f>HYPERLINK("http://www.ncbi.nlm.nih.gov/pubmed/?term=Cldn1", "Cldn1")</f>
        <v>Cldn1</v>
      </c>
      <c r="C280" s="6">
        <v>1.845</v>
      </c>
      <c r="D280" s="8">
        <v>4.335</v>
      </c>
      <c r="E280" s="18">
        <v>3.012</v>
      </c>
    </row>
    <row r="281" spans="1:5" x14ac:dyDescent="0.25">
      <c r="A281" t="s">
        <v>1837</v>
      </c>
      <c r="B281" s="1" t="str">
        <f>HYPERLINK("http://www.ncbi.nlm.nih.gov/pubmed/?term=Rgs21", "Rgs21")</f>
        <v>Rgs21</v>
      </c>
      <c r="C281" s="12">
        <v>-4.3499999999999996</v>
      </c>
      <c r="D281" s="18">
        <v>3.63</v>
      </c>
      <c r="E281" s="12">
        <v>-2.0739999999999998</v>
      </c>
    </row>
    <row r="282" spans="1:5" x14ac:dyDescent="0.25">
      <c r="A282" t="s">
        <v>1309</v>
      </c>
      <c r="B282" s="1" t="str">
        <f>HYPERLINK("http://www.ncbi.nlm.nih.gov/pubmed/?term=Il17rb", "Il17rb")</f>
        <v>Il17rb</v>
      </c>
      <c r="C282" s="12">
        <v>0.2535</v>
      </c>
      <c r="D282" s="8">
        <v>4.0810000000000004</v>
      </c>
      <c r="E282" s="6">
        <v>1.9830000000000001</v>
      </c>
    </row>
    <row r="283" spans="1:5" x14ac:dyDescent="0.25">
      <c r="A283" t="s">
        <v>193</v>
      </c>
      <c r="B283" s="1" t="str">
        <f>HYPERLINK("http://www.ncbi.nlm.nih.gov/pubmed/?term=Ccl9", "Ccl9")</f>
        <v>Ccl9</v>
      </c>
      <c r="C283" s="12">
        <v>-1.8540000000000001</v>
      </c>
      <c r="D283" s="8">
        <v>4.1539999999999999</v>
      </c>
      <c r="E283" s="16">
        <v>2.3029999999999999</v>
      </c>
    </row>
    <row r="284" spans="1:5" x14ac:dyDescent="0.25">
      <c r="A284" t="s">
        <v>679</v>
      </c>
      <c r="B284" s="1" t="str">
        <f>HYPERLINK("http://www.ncbi.nlm.nih.gov/pubmed/?term=Myl1", "Myl1")</f>
        <v>Myl1</v>
      </c>
      <c r="C284" s="12">
        <v>-0.39040000000000002</v>
      </c>
      <c r="D284" s="18">
        <v>3.8570000000000002</v>
      </c>
      <c r="E284" s="6">
        <v>1.0249999999999999</v>
      </c>
    </row>
    <row r="285" spans="1:5" x14ac:dyDescent="0.25">
      <c r="A285" t="s">
        <v>1199</v>
      </c>
      <c r="B285" s="1" t="str">
        <f>HYPERLINK("http://www.ncbi.nlm.nih.gov/pubmed/?term=Hdac5", "Hdac5")</f>
        <v>Hdac5</v>
      </c>
      <c r="C285" s="6">
        <v>1.4690000000000001</v>
      </c>
      <c r="D285" s="8">
        <v>4.16</v>
      </c>
      <c r="E285" s="16">
        <v>2.34</v>
      </c>
    </row>
    <row r="286" spans="1:5" x14ac:dyDescent="0.25">
      <c r="A286" t="s">
        <v>636</v>
      </c>
      <c r="B286" s="1" t="str">
        <f>HYPERLINK("http://www.ncbi.nlm.nih.gov/pubmed/?term=Camk2d", "Camk2d")</f>
        <v>Camk2d</v>
      </c>
      <c r="C286" s="18">
        <v>3.008</v>
      </c>
      <c r="D286" s="8">
        <v>4.3090000000000002</v>
      </c>
      <c r="E286" s="16">
        <v>2.335</v>
      </c>
    </row>
    <row r="287" spans="1:5" x14ac:dyDescent="0.25">
      <c r="A287" t="s">
        <v>175</v>
      </c>
      <c r="B287" s="1" t="str">
        <f>HYPERLINK("http://www.ncbi.nlm.nih.gov/pubmed/?term=Matk", "Matk")</f>
        <v>Matk</v>
      </c>
      <c r="C287" s="12">
        <v>-0.87960000000000005</v>
      </c>
      <c r="D287" s="18">
        <v>3.9409999999999998</v>
      </c>
      <c r="E287" s="6">
        <v>1.4350000000000001</v>
      </c>
    </row>
    <row r="288" spans="1:5" x14ac:dyDescent="0.25">
      <c r="A288" t="s">
        <v>562</v>
      </c>
      <c r="B288" s="1" t="str">
        <f>HYPERLINK("http://www.ncbi.nlm.nih.gov/pubmed/?term=Cyp2g1", "Cyp2g1")</f>
        <v>Cyp2g1</v>
      </c>
      <c r="C288" s="12">
        <v>-2.9289999999999998</v>
      </c>
      <c r="D288" s="8">
        <v>4.38</v>
      </c>
      <c r="E288" s="18">
        <v>3.3490000000000002</v>
      </c>
    </row>
    <row r="289" spans="1:5" x14ac:dyDescent="0.25">
      <c r="A289" t="s">
        <v>1154</v>
      </c>
      <c r="B289" s="1" t="str">
        <f>HYPERLINK("http://www.ncbi.nlm.nih.gov/pubmed/?term=Tmem45a", "Tmem45a")</f>
        <v>Tmem45a</v>
      </c>
      <c r="C289" s="12">
        <v>0.1416</v>
      </c>
      <c r="D289" s="8">
        <v>4.3559999999999999</v>
      </c>
      <c r="E289" s="18">
        <v>3.2559999999999998</v>
      </c>
    </row>
    <row r="290" spans="1:5" x14ac:dyDescent="0.25">
      <c r="A290" t="s">
        <v>951</v>
      </c>
      <c r="B290" s="1" t="str">
        <f>HYPERLINK("http://www.ncbi.nlm.nih.gov/pubmed/?term=Rab11fip3", "Rab11fip3")</f>
        <v>Rab11fip3</v>
      </c>
      <c r="C290" s="18">
        <v>3.2250000000000001</v>
      </c>
      <c r="D290" s="8">
        <v>4.3440000000000003</v>
      </c>
      <c r="E290" s="18">
        <v>3.226</v>
      </c>
    </row>
    <row r="291" spans="1:5" x14ac:dyDescent="0.25">
      <c r="A291" t="s">
        <v>1872</v>
      </c>
      <c r="B291" s="1" t="str">
        <f>HYPERLINK("http://www.ncbi.nlm.nih.gov/pubmed/?term=6430527G18Rik", "6430527G18Rik")</f>
        <v>6430527G18Rik</v>
      </c>
      <c r="C291" s="18">
        <v>3.0830000000000002</v>
      </c>
      <c r="D291" s="8">
        <v>4.3070000000000004</v>
      </c>
      <c r="E291" s="6">
        <v>1.7230000000000001</v>
      </c>
    </row>
    <row r="292" spans="1:5" x14ac:dyDescent="0.25">
      <c r="A292" t="s">
        <v>2006</v>
      </c>
      <c r="B292" s="1" t="str">
        <f>HYPERLINK("http://www.ncbi.nlm.nih.gov/pubmed/?term=Fes", "Fes")</f>
        <v>Fes</v>
      </c>
      <c r="C292" s="6">
        <v>1.5960000000000001</v>
      </c>
      <c r="D292" s="8">
        <v>4.1500000000000004</v>
      </c>
      <c r="E292" s="16">
        <v>2.593</v>
      </c>
    </row>
    <row r="293" spans="1:5" x14ac:dyDescent="0.25">
      <c r="A293" t="s">
        <v>412</v>
      </c>
      <c r="B293" s="1" t="str">
        <f>HYPERLINK("http://www.ncbi.nlm.nih.gov/pubmed/?term=Aox4", "Aox4")</f>
        <v>Aox4</v>
      </c>
      <c r="C293" s="6">
        <v>1.93</v>
      </c>
      <c r="D293" s="18">
        <v>3.9969999999999999</v>
      </c>
      <c r="E293" s="6">
        <v>1.28</v>
      </c>
    </row>
    <row r="294" spans="1:5" x14ac:dyDescent="0.25">
      <c r="A294" t="s">
        <v>1700</v>
      </c>
      <c r="B294" s="1" t="str">
        <f>HYPERLINK("http://www.ncbi.nlm.nih.gov/pubmed/?term=Sez6l", "Sez6l")</f>
        <v>Sez6l</v>
      </c>
      <c r="C294" s="12">
        <v>0.97470000000000001</v>
      </c>
      <c r="D294" s="18">
        <v>3.7679999999999998</v>
      </c>
      <c r="E294" s="12">
        <v>0.84719999999999995</v>
      </c>
    </row>
    <row r="295" spans="1:5" x14ac:dyDescent="0.25">
      <c r="A295" t="s">
        <v>317</v>
      </c>
      <c r="B295" s="1" t="str">
        <f>HYPERLINK("http://www.ncbi.nlm.nih.gov/pubmed/?term=Trem2", "Trem2")</f>
        <v>Trem2</v>
      </c>
      <c r="C295" s="12">
        <v>-5.6230000000000002</v>
      </c>
      <c r="D295" s="18">
        <v>3.54</v>
      </c>
      <c r="E295" s="12">
        <v>-0.19120000000000001</v>
      </c>
    </row>
    <row r="296" spans="1:5" x14ac:dyDescent="0.25">
      <c r="A296" t="s">
        <v>290</v>
      </c>
      <c r="B296" s="1" t="str">
        <f>HYPERLINK("http://www.ncbi.nlm.nih.gov/pubmed/?term=Olfr461", "Olfr461")</f>
        <v>Olfr461</v>
      </c>
      <c r="C296" s="12">
        <v>-1.879</v>
      </c>
      <c r="D296" s="18">
        <v>3.5339999999999998</v>
      </c>
      <c r="E296" s="12">
        <v>-0.37919999999999998</v>
      </c>
    </row>
    <row r="297" spans="1:5" x14ac:dyDescent="0.25">
      <c r="A297" t="s">
        <v>809</v>
      </c>
      <c r="B297" s="1" t="str">
        <f>HYPERLINK("http://www.ncbi.nlm.nih.gov/pubmed/?term=Fut2", "Fut2")</f>
        <v>Fut2</v>
      </c>
      <c r="C297" s="12">
        <v>-2.8159999999999998</v>
      </c>
      <c r="D297" s="8">
        <v>4.1749999999999998</v>
      </c>
      <c r="E297" s="16">
        <v>2.7890000000000001</v>
      </c>
    </row>
    <row r="298" spans="1:5" x14ac:dyDescent="0.25">
      <c r="A298" t="s">
        <v>62</v>
      </c>
      <c r="B298" s="1" t="str">
        <f>HYPERLINK("http://www.ncbi.nlm.nih.gov/pubmed/?term=Coro2b", "Coro2b")</f>
        <v>Coro2b</v>
      </c>
      <c r="C298" s="12">
        <v>-0.62619999999999998</v>
      </c>
      <c r="D298" s="18">
        <v>3.6930000000000001</v>
      </c>
      <c r="E298" s="12">
        <v>0.74470000000000003</v>
      </c>
    </row>
    <row r="299" spans="1:5" x14ac:dyDescent="0.25">
      <c r="A299" t="s">
        <v>2021</v>
      </c>
      <c r="B299" s="1" t="str">
        <f>HYPERLINK("http://www.ncbi.nlm.nih.gov/pubmed/?term=Dgki", "Dgki")</f>
        <v>Dgki</v>
      </c>
      <c r="C299" s="12">
        <v>-3.8439999999999999</v>
      </c>
      <c r="D299" s="18">
        <v>3.5169999999999999</v>
      </c>
      <c r="E299" s="12">
        <v>-5.7509999999999999E-2</v>
      </c>
    </row>
    <row r="300" spans="1:5" x14ac:dyDescent="0.25">
      <c r="A300" t="s">
        <v>1734</v>
      </c>
      <c r="B300" s="1" t="str">
        <f>HYPERLINK("http://www.ncbi.nlm.nih.gov/pubmed/?term=Abca1", "Abca1")</f>
        <v>Abca1</v>
      </c>
      <c r="C300" s="12">
        <v>0.96870000000000001</v>
      </c>
      <c r="D300" s="18">
        <v>3.8820000000000001</v>
      </c>
      <c r="E300" s="6">
        <v>1.58</v>
      </c>
    </row>
    <row r="301" spans="1:5" x14ac:dyDescent="0.25">
      <c r="A301" t="s">
        <v>299</v>
      </c>
      <c r="B301" s="1" t="str">
        <f>HYPERLINK("http://www.ncbi.nlm.nih.gov/pubmed/?term=Myo1d", "Myo1d")</f>
        <v>Myo1d</v>
      </c>
      <c r="C301" s="16">
        <v>2.9990000000000001</v>
      </c>
      <c r="D301" s="8">
        <v>4.2030000000000003</v>
      </c>
      <c r="E301" s="16">
        <v>2.472</v>
      </c>
    </row>
    <row r="302" spans="1:5" x14ac:dyDescent="0.25">
      <c r="A302" t="s">
        <v>812</v>
      </c>
      <c r="B302" s="1" t="str">
        <f>HYPERLINK("http://www.ncbi.nlm.nih.gov/pubmed/?term=Mybpc1", "Mybpc1")</f>
        <v>Mybpc1</v>
      </c>
      <c r="C302" s="12">
        <v>-2.694</v>
      </c>
      <c r="D302" s="8">
        <v>4.18</v>
      </c>
      <c r="E302" s="16">
        <v>2.9689999999999999</v>
      </c>
    </row>
    <row r="303" spans="1:5" x14ac:dyDescent="0.25">
      <c r="A303" t="s">
        <v>1871</v>
      </c>
      <c r="B303" s="1" t="str">
        <f>HYPERLINK("http://www.ncbi.nlm.nih.gov/pubmed/?term=AW551984", "AW551984")</f>
        <v>AW551984</v>
      </c>
      <c r="C303" s="12">
        <v>-1.5860000000000001</v>
      </c>
      <c r="D303" s="18">
        <v>3.49</v>
      </c>
      <c r="E303" s="12">
        <v>-0.2402</v>
      </c>
    </row>
    <row r="304" spans="1:5" x14ac:dyDescent="0.25">
      <c r="A304" t="s">
        <v>647</v>
      </c>
      <c r="B304" s="1" t="str">
        <f>HYPERLINK("http://www.ncbi.nlm.nih.gov/pubmed/?term=5430407P10Rik", "5430407P10Rik")</f>
        <v>5430407P10Rik</v>
      </c>
      <c r="C304" s="6">
        <v>1.7150000000000001</v>
      </c>
      <c r="D304" s="18">
        <v>3.964</v>
      </c>
      <c r="E304" s="16">
        <v>2.0720000000000001</v>
      </c>
    </row>
    <row r="305" spans="1:5" x14ac:dyDescent="0.25">
      <c r="A305" t="s">
        <v>352</v>
      </c>
      <c r="B305" s="1" t="str">
        <f>HYPERLINK("http://www.ncbi.nlm.nih.gov/pubmed/?term=Gm4952", "Gm4952")</f>
        <v>Gm4952</v>
      </c>
      <c r="C305" s="12">
        <v>-7.202</v>
      </c>
      <c r="D305" s="18">
        <v>3.4820000000000002</v>
      </c>
      <c r="E305" s="12">
        <v>-0.97960000000000003</v>
      </c>
    </row>
    <row r="306" spans="1:5" x14ac:dyDescent="0.25">
      <c r="A306" t="s">
        <v>32</v>
      </c>
      <c r="B306" s="1" t="str">
        <f>HYPERLINK("http://www.ncbi.nlm.nih.gov/pubmed/?term=Cmtm8", "Cmtm8")</f>
        <v>Cmtm8</v>
      </c>
      <c r="C306" s="6">
        <v>1.776</v>
      </c>
      <c r="D306" s="8">
        <v>4.1859999999999999</v>
      </c>
      <c r="E306" s="18">
        <v>3.0710000000000002</v>
      </c>
    </row>
    <row r="307" spans="1:5" x14ac:dyDescent="0.25">
      <c r="A307" t="s">
        <v>1571</v>
      </c>
      <c r="B307" s="1" t="str">
        <f>HYPERLINK("http://www.ncbi.nlm.nih.gov/pubmed/?term=Flrt3", "Flrt3")</f>
        <v>Flrt3</v>
      </c>
      <c r="C307" s="18">
        <v>3.0150000000000001</v>
      </c>
      <c r="D307" s="8">
        <v>4.1719999999999997</v>
      </c>
      <c r="E307" s="6">
        <v>1.869</v>
      </c>
    </row>
    <row r="308" spans="1:5" x14ac:dyDescent="0.25">
      <c r="A308" t="s">
        <v>914</v>
      </c>
      <c r="B308" s="1" t="str">
        <f>HYPERLINK("http://www.ncbi.nlm.nih.gov/pubmed/?term=Thbs4", "Thbs4")</f>
        <v>Thbs4</v>
      </c>
      <c r="C308" s="12">
        <v>-1.02</v>
      </c>
      <c r="D308" s="18">
        <v>3.4670000000000001</v>
      </c>
      <c r="E308" s="12">
        <v>-1.538</v>
      </c>
    </row>
    <row r="309" spans="1:5" x14ac:dyDescent="0.25">
      <c r="A309" t="s">
        <v>142</v>
      </c>
      <c r="B309" s="1" t="str">
        <f>HYPERLINK("http://www.ncbi.nlm.nih.gov/pubmed/?term=1110007C09Rik", "1110007C09Rik")</f>
        <v>1110007C09Rik</v>
      </c>
      <c r="C309" s="18">
        <v>3.004</v>
      </c>
      <c r="D309" s="8">
        <v>4.1479999999999997</v>
      </c>
      <c r="E309" s="16">
        <v>2.34</v>
      </c>
    </row>
    <row r="310" spans="1:5" x14ac:dyDescent="0.25">
      <c r="A310" t="s">
        <v>1727</v>
      </c>
      <c r="B310" s="1" t="str">
        <f>HYPERLINK("http://www.ncbi.nlm.nih.gov/pubmed/?term=Sst", "Sst")</f>
        <v>Sst</v>
      </c>
      <c r="C310" s="12">
        <v>-2.1269999999999998</v>
      </c>
      <c r="D310" s="18">
        <v>3.4460000000000002</v>
      </c>
      <c r="E310" s="12">
        <v>-2.903</v>
      </c>
    </row>
    <row r="311" spans="1:5" x14ac:dyDescent="0.25">
      <c r="A311" t="s">
        <v>1262</v>
      </c>
      <c r="B311" s="1" t="str">
        <f>HYPERLINK("http://www.ncbi.nlm.nih.gov/pubmed/?term=Klk7", "Klk7")</f>
        <v>Klk7</v>
      </c>
      <c r="C311" s="12">
        <v>-2.7389999999999999</v>
      </c>
      <c r="D311" s="18">
        <v>3.927</v>
      </c>
      <c r="E311" s="16">
        <v>2.0859999999999999</v>
      </c>
    </row>
    <row r="312" spans="1:5" x14ac:dyDescent="0.25">
      <c r="A312" t="s">
        <v>1917</v>
      </c>
      <c r="B312" s="1" t="str">
        <f>HYPERLINK("http://www.ncbi.nlm.nih.gov/pubmed/?term=Fam43a", "Fam43a")</f>
        <v>Fam43a</v>
      </c>
      <c r="C312" s="16">
        <v>2.149</v>
      </c>
      <c r="D312" s="8">
        <v>4.0970000000000004</v>
      </c>
      <c r="E312" s="16">
        <v>2.9049999999999998</v>
      </c>
    </row>
    <row r="313" spans="1:5" x14ac:dyDescent="0.25">
      <c r="A313" t="s">
        <v>1622</v>
      </c>
      <c r="B313" s="1" t="str">
        <f>HYPERLINK("http://www.ncbi.nlm.nih.gov/pubmed/?term=Kctd4", "Kctd4")</f>
        <v>Kctd4</v>
      </c>
      <c r="C313" s="16">
        <v>2.2080000000000002</v>
      </c>
      <c r="D313" s="18">
        <v>3.93</v>
      </c>
      <c r="E313" s="6">
        <v>1.139</v>
      </c>
    </row>
    <row r="314" spans="1:5" x14ac:dyDescent="0.25">
      <c r="A314" t="s">
        <v>138</v>
      </c>
      <c r="B314" s="1" t="str">
        <f>HYPERLINK("http://www.ncbi.nlm.nih.gov/pubmed/?term=Krt23", "Krt23")</f>
        <v>Krt23</v>
      </c>
      <c r="C314" s="12">
        <v>-1.7410000000000001</v>
      </c>
      <c r="D314" s="8">
        <v>4.0439999999999996</v>
      </c>
      <c r="E314" s="16">
        <v>2.7410000000000001</v>
      </c>
    </row>
    <row r="315" spans="1:5" x14ac:dyDescent="0.25">
      <c r="A315" t="s">
        <v>1540</v>
      </c>
      <c r="B315" s="1" t="str">
        <f>HYPERLINK("http://www.ncbi.nlm.nih.gov/pubmed/?term=Hyal2", "Hyal2")</f>
        <v>Hyal2</v>
      </c>
      <c r="C315" s="16">
        <v>2.9630000000000001</v>
      </c>
      <c r="D315" s="8">
        <v>4.08</v>
      </c>
      <c r="E315" s="16">
        <v>2.8460000000000001</v>
      </c>
    </row>
    <row r="316" spans="1:5" x14ac:dyDescent="0.25">
      <c r="A316" t="s">
        <v>1158</v>
      </c>
      <c r="B316" s="1" t="str">
        <f>HYPERLINK("http://www.ncbi.nlm.nih.gov/pubmed/?term=Slc34a2", "Slc34a2")</f>
        <v>Slc34a2</v>
      </c>
      <c r="C316" s="12">
        <v>-1.7609999999999999</v>
      </c>
      <c r="D316" s="8">
        <v>4.0709999999999997</v>
      </c>
      <c r="E316" s="18">
        <v>3.0089999999999999</v>
      </c>
    </row>
    <row r="317" spans="1:5" x14ac:dyDescent="0.25">
      <c r="A317" t="s">
        <v>440</v>
      </c>
      <c r="B317" s="1" t="str">
        <f>HYPERLINK("http://www.ncbi.nlm.nih.gov/pubmed/?term=Fam25c", "Fam25c")</f>
        <v>Fam25c</v>
      </c>
      <c r="C317" s="12">
        <v>-1.5840000000000001</v>
      </c>
      <c r="D317" s="18">
        <v>3.9630000000000001</v>
      </c>
      <c r="E317" s="16">
        <v>2.58</v>
      </c>
    </row>
    <row r="318" spans="1:5" x14ac:dyDescent="0.25">
      <c r="A318" t="s">
        <v>1979</v>
      </c>
      <c r="B318" s="1" t="str">
        <f>HYPERLINK("http://www.ncbi.nlm.nih.gov/pubmed/?term=Gna14", "Gna14")</f>
        <v>Gna14</v>
      </c>
      <c r="C318" s="12">
        <v>0.61960000000000004</v>
      </c>
      <c r="D318" s="18">
        <v>3.5</v>
      </c>
      <c r="E318" s="12">
        <v>0.2238</v>
      </c>
    </row>
    <row r="319" spans="1:5" x14ac:dyDescent="0.25">
      <c r="A319" t="s">
        <v>536</v>
      </c>
      <c r="B319" s="1" t="str">
        <f>HYPERLINK("http://www.ncbi.nlm.nih.gov/pubmed/?term=Plekha6", "Plekha6")</f>
        <v>Plekha6</v>
      </c>
      <c r="C319" s="12">
        <v>-2.7669999999999999</v>
      </c>
      <c r="D319" s="18">
        <v>3.7469999999999999</v>
      </c>
      <c r="E319" s="6">
        <v>1.6919999999999999</v>
      </c>
    </row>
    <row r="320" spans="1:5" x14ac:dyDescent="0.25">
      <c r="A320" t="s">
        <v>204</v>
      </c>
      <c r="B320" s="1" t="str">
        <f>HYPERLINK("http://www.ncbi.nlm.nih.gov/pubmed/?term=Irak3", "Irak3")</f>
        <v>Irak3</v>
      </c>
      <c r="C320" s="12">
        <v>0.78210000000000002</v>
      </c>
      <c r="D320" s="18">
        <v>3.5329999999999999</v>
      </c>
      <c r="E320" s="12">
        <v>5.2080000000000001E-2</v>
      </c>
    </row>
    <row r="321" spans="1:5" x14ac:dyDescent="0.25">
      <c r="A321" t="s">
        <v>1326</v>
      </c>
      <c r="B321" s="1" t="str">
        <f>HYPERLINK("http://www.ncbi.nlm.nih.gov/pubmed/?term=Tnfrsf12a", "Tnfrsf12a")</f>
        <v>Tnfrsf12a</v>
      </c>
      <c r="C321" s="6">
        <v>1.234</v>
      </c>
      <c r="D321" s="18">
        <v>3.6259999999999999</v>
      </c>
      <c r="E321" s="6">
        <v>1.2729999999999999</v>
      </c>
    </row>
    <row r="322" spans="1:5" x14ac:dyDescent="0.25">
      <c r="A322" t="s">
        <v>1749</v>
      </c>
      <c r="B322" s="1" t="str">
        <f>HYPERLINK("http://www.ncbi.nlm.nih.gov/pubmed/?term=Slco3a1", "Slco3a1")</f>
        <v>Slco3a1</v>
      </c>
      <c r="C322" s="6">
        <v>1.397</v>
      </c>
      <c r="D322" s="18">
        <v>3.7690000000000001</v>
      </c>
      <c r="E322" s="6">
        <v>1.9159999999999999</v>
      </c>
    </row>
    <row r="323" spans="1:5" x14ac:dyDescent="0.25">
      <c r="A323" t="s">
        <v>960</v>
      </c>
      <c r="B323" s="1" t="str">
        <f>HYPERLINK("http://www.ncbi.nlm.nih.gov/pubmed/?term=Pak1", "Pak1")</f>
        <v>Pak1</v>
      </c>
      <c r="C323" s="12">
        <v>0.79710000000000003</v>
      </c>
      <c r="D323" s="18">
        <v>3.81</v>
      </c>
      <c r="E323" s="16">
        <v>2.1230000000000002</v>
      </c>
    </row>
    <row r="324" spans="1:5" x14ac:dyDescent="0.25">
      <c r="A324" t="s">
        <v>1799</v>
      </c>
      <c r="B324" s="1" t="str">
        <f>HYPERLINK("http://www.ncbi.nlm.nih.gov/pubmed/?term=Atoh8", "Atoh8")</f>
        <v>Atoh8</v>
      </c>
      <c r="C324" s="12">
        <v>0.45029999999999998</v>
      </c>
      <c r="D324" s="18">
        <v>3.7410000000000001</v>
      </c>
      <c r="E324" s="6">
        <v>1.8380000000000001</v>
      </c>
    </row>
    <row r="325" spans="1:5" x14ac:dyDescent="0.25">
      <c r="A325" t="s">
        <v>1541</v>
      </c>
      <c r="B325" s="1" t="str">
        <f>HYPERLINK("http://www.ncbi.nlm.nih.gov/pubmed/?term=Myh14", "Myh14")</f>
        <v>Myh14</v>
      </c>
      <c r="C325" s="6">
        <v>1.0640000000000001</v>
      </c>
      <c r="D325" s="18">
        <v>3.9489999999999998</v>
      </c>
      <c r="E325" s="16">
        <v>2.758</v>
      </c>
    </row>
    <row r="326" spans="1:5" x14ac:dyDescent="0.25">
      <c r="A326" t="s">
        <v>1600</v>
      </c>
      <c r="B326" s="1" t="str">
        <f>HYPERLINK("http://www.ncbi.nlm.nih.gov/pubmed/?term=Hsd17b11", "Hsd17b11")</f>
        <v>Hsd17b11</v>
      </c>
      <c r="C326" s="6">
        <v>1.897</v>
      </c>
      <c r="D326" s="18">
        <v>3.8919999999999999</v>
      </c>
      <c r="E326" s="16">
        <v>2.5670000000000002</v>
      </c>
    </row>
    <row r="327" spans="1:5" x14ac:dyDescent="0.25">
      <c r="A327" t="s">
        <v>368</v>
      </c>
      <c r="B327" s="1" t="str">
        <f>HYPERLINK("http://www.ncbi.nlm.nih.gov/pubmed/?term=Egr3", "Egr3")</f>
        <v>Egr3</v>
      </c>
      <c r="C327" s="12">
        <v>-2.1019999999999999</v>
      </c>
      <c r="D327" s="18">
        <v>3.8029999999999999</v>
      </c>
      <c r="E327" s="16">
        <v>2.2080000000000002</v>
      </c>
    </row>
    <row r="328" spans="1:5" x14ac:dyDescent="0.25">
      <c r="A328" t="s">
        <v>514</v>
      </c>
      <c r="B328" s="1" t="str">
        <f>HYPERLINK("http://www.ncbi.nlm.nih.gov/pubmed/?term=Cnfn", "Cnfn")</f>
        <v>Cnfn</v>
      </c>
      <c r="C328" s="12">
        <v>-2.4820000000000002</v>
      </c>
      <c r="D328" s="18">
        <v>3.8540000000000001</v>
      </c>
      <c r="E328" s="16">
        <v>2.4990000000000001</v>
      </c>
    </row>
    <row r="329" spans="1:5" x14ac:dyDescent="0.25">
      <c r="A329" t="s">
        <v>1173</v>
      </c>
      <c r="B329" s="1" t="str">
        <f>HYPERLINK("http://www.ncbi.nlm.nih.gov/pubmed/?term=Eln", "Eln")</f>
        <v>Eln</v>
      </c>
      <c r="C329" s="16">
        <v>2.78</v>
      </c>
      <c r="D329" s="18">
        <v>3.899</v>
      </c>
      <c r="E329" s="12">
        <v>0.89080000000000004</v>
      </c>
    </row>
    <row r="330" spans="1:5" x14ac:dyDescent="0.25">
      <c r="A330" t="s">
        <v>996</v>
      </c>
      <c r="B330" s="1" t="str">
        <f>HYPERLINK("http://www.ncbi.nlm.nih.gov/pubmed/?term=Lypd3", "Lypd3")</f>
        <v>Lypd3</v>
      </c>
      <c r="C330" s="12">
        <v>-1.641</v>
      </c>
      <c r="D330" s="18">
        <v>3.806</v>
      </c>
      <c r="E330" s="16">
        <v>2.3860000000000001</v>
      </c>
    </row>
    <row r="331" spans="1:5" x14ac:dyDescent="0.25">
      <c r="A331" t="s">
        <v>1408</v>
      </c>
      <c r="B331" s="1" t="str">
        <f>HYPERLINK("http://www.ncbi.nlm.nih.gov/pubmed/?term=Serping1", "Serping1")</f>
        <v>Serping1</v>
      </c>
      <c r="C331" s="6">
        <v>1.395</v>
      </c>
      <c r="D331" s="18">
        <v>3.742</v>
      </c>
      <c r="E331" s="16">
        <v>2.1539999999999999</v>
      </c>
    </row>
    <row r="332" spans="1:5" x14ac:dyDescent="0.25">
      <c r="A332" t="s">
        <v>895</v>
      </c>
      <c r="B332" s="1" t="str">
        <f>HYPERLINK("http://www.ncbi.nlm.nih.gov/pubmed/?term=Pof1b", "Pof1b")</f>
        <v>Pof1b</v>
      </c>
      <c r="C332" s="12">
        <v>-3.004</v>
      </c>
      <c r="D332" s="18">
        <v>3.4889999999999999</v>
      </c>
      <c r="E332" s="6">
        <v>1.0860000000000001</v>
      </c>
    </row>
    <row r="333" spans="1:5" x14ac:dyDescent="0.25">
      <c r="A333" t="s">
        <v>1680</v>
      </c>
      <c r="B333" s="1" t="str">
        <f>HYPERLINK("http://www.ncbi.nlm.nih.gov/pubmed/?term=Scgb1a1", "Scgb1a1")</f>
        <v>Scgb1a1</v>
      </c>
      <c r="C333" s="12">
        <v>-1.4550000000000001</v>
      </c>
      <c r="D333" s="18">
        <v>3.7669999999999999</v>
      </c>
      <c r="E333" s="16">
        <v>2.2879999999999998</v>
      </c>
    </row>
    <row r="334" spans="1:5" x14ac:dyDescent="0.25">
      <c r="A334" t="s">
        <v>813</v>
      </c>
      <c r="B334" s="1" t="str">
        <f>HYPERLINK("http://www.ncbi.nlm.nih.gov/pubmed/?term=Ampd3", "Ampd3")</f>
        <v>Ampd3</v>
      </c>
      <c r="C334" s="6">
        <v>1.667</v>
      </c>
      <c r="D334" s="18">
        <v>3.6469999999999998</v>
      </c>
      <c r="E334" s="6">
        <v>1.821</v>
      </c>
    </row>
    <row r="335" spans="1:5" x14ac:dyDescent="0.25">
      <c r="A335" t="s">
        <v>897</v>
      </c>
      <c r="B335" s="1" t="str">
        <f>HYPERLINK("http://www.ncbi.nlm.nih.gov/pubmed/?term=Tmem86a", "Tmem86a")</f>
        <v>Tmem86a</v>
      </c>
      <c r="C335" s="12">
        <v>0.99909999999999999</v>
      </c>
      <c r="D335" s="18">
        <v>3.6629999999999998</v>
      </c>
      <c r="E335" s="6">
        <v>1.8919999999999999</v>
      </c>
    </row>
    <row r="336" spans="1:5" x14ac:dyDescent="0.25">
      <c r="A336" t="s">
        <v>658</v>
      </c>
      <c r="B336" s="1" t="str">
        <f>HYPERLINK("http://www.ncbi.nlm.nih.gov/pubmed/?term=Ovol3", "Ovol3")</f>
        <v>Ovol3</v>
      </c>
      <c r="C336" s="12">
        <v>-3.8</v>
      </c>
      <c r="D336" s="18">
        <v>3.4209999999999998</v>
      </c>
      <c r="E336" s="12">
        <v>0.86329999999999996</v>
      </c>
    </row>
    <row r="337" spans="1:5" x14ac:dyDescent="0.25">
      <c r="A337" t="s">
        <v>604</v>
      </c>
      <c r="B337" s="1" t="str">
        <f>HYPERLINK("http://www.ncbi.nlm.nih.gov/pubmed/?term=Kcnq1", "Kcnq1")</f>
        <v>Kcnq1</v>
      </c>
      <c r="C337" s="12">
        <v>-3.294</v>
      </c>
      <c r="D337" s="18">
        <v>3.7839999999999998</v>
      </c>
      <c r="E337" s="16">
        <v>2.464</v>
      </c>
    </row>
    <row r="338" spans="1:5" x14ac:dyDescent="0.25">
      <c r="A338" t="s">
        <v>1080</v>
      </c>
      <c r="B338" s="1" t="str">
        <f>HYPERLINK("http://www.ncbi.nlm.nih.gov/pubmed/?term=Egr2", "Egr2")</f>
        <v>Egr2</v>
      </c>
      <c r="C338" s="16">
        <v>2.222</v>
      </c>
      <c r="D338" s="18">
        <v>3.7280000000000002</v>
      </c>
      <c r="E338" s="16">
        <v>2.1829999999999998</v>
      </c>
    </row>
    <row r="339" spans="1:5" x14ac:dyDescent="0.25">
      <c r="A339" t="s">
        <v>1601</v>
      </c>
      <c r="B339" s="1" t="str">
        <f>HYPERLINK("http://www.ncbi.nlm.nih.gov/pubmed/?term=Ddx60", "Ddx60")</f>
        <v>Ddx60</v>
      </c>
      <c r="C339" s="16">
        <v>2.1789999999999998</v>
      </c>
      <c r="D339" s="18">
        <v>3.7010000000000001</v>
      </c>
      <c r="E339" s="12">
        <v>-1.5049999999999999</v>
      </c>
    </row>
    <row r="340" spans="1:5" x14ac:dyDescent="0.25">
      <c r="A340" t="s">
        <v>1105</v>
      </c>
      <c r="B340" s="1" t="str">
        <f>HYPERLINK("http://www.ncbi.nlm.nih.gov/pubmed/?term=Plekhg5", "Plekhg5")</f>
        <v>Plekhg5</v>
      </c>
      <c r="C340" s="12">
        <v>0.59350000000000003</v>
      </c>
      <c r="D340" s="18">
        <v>3.71</v>
      </c>
      <c r="E340" s="16">
        <v>2.2450000000000001</v>
      </c>
    </row>
    <row r="341" spans="1:5" x14ac:dyDescent="0.25">
      <c r="A341" t="s">
        <v>1898</v>
      </c>
      <c r="B341" s="1" t="str">
        <f>HYPERLINK("http://www.ncbi.nlm.nih.gov/pubmed/?term=Herc6", "Herc6")</f>
        <v>Herc6</v>
      </c>
      <c r="C341" s="16">
        <v>2.371</v>
      </c>
      <c r="D341" s="18">
        <v>3.74</v>
      </c>
      <c r="E341" s="16">
        <v>2.4239999999999999</v>
      </c>
    </row>
    <row r="342" spans="1:5" x14ac:dyDescent="0.25">
      <c r="A342" t="s">
        <v>1981</v>
      </c>
      <c r="B342" s="1" t="str">
        <f>HYPERLINK("http://www.ncbi.nlm.nih.gov/pubmed/?term=Clec2g", "Clec2g")</f>
        <v>Clec2g</v>
      </c>
      <c r="C342" s="6">
        <v>1.446</v>
      </c>
      <c r="D342" s="18">
        <v>3.6789999999999998</v>
      </c>
      <c r="E342" s="16">
        <v>2.1669999999999998</v>
      </c>
    </row>
    <row r="343" spans="1:5" x14ac:dyDescent="0.25">
      <c r="A343" t="s">
        <v>1531</v>
      </c>
      <c r="B343" s="1" t="str">
        <f>HYPERLINK("http://www.ncbi.nlm.nih.gov/pubmed/?term=Runx1", "Runx1")</f>
        <v>Runx1</v>
      </c>
      <c r="C343" s="6">
        <v>1.6579999999999999</v>
      </c>
      <c r="D343" s="18">
        <v>3.56</v>
      </c>
      <c r="E343" s="12">
        <v>0.83879999999999999</v>
      </c>
    </row>
    <row r="344" spans="1:5" x14ac:dyDescent="0.25">
      <c r="A344" t="s">
        <v>1124</v>
      </c>
      <c r="B344" s="1" t="str">
        <f>HYPERLINK("http://www.ncbi.nlm.nih.gov/pubmed/?term=Lrrc23", "Lrrc23")</f>
        <v>Lrrc23</v>
      </c>
      <c r="C344" s="12">
        <v>-0.23569999999999999</v>
      </c>
      <c r="D344" s="18">
        <v>3.8180000000000001</v>
      </c>
      <c r="E344" s="16">
        <v>2.7789999999999999</v>
      </c>
    </row>
    <row r="345" spans="1:5" x14ac:dyDescent="0.25">
      <c r="A345" t="s">
        <v>416</v>
      </c>
      <c r="B345" s="1" t="str">
        <f>HYPERLINK("http://www.ncbi.nlm.nih.gov/pubmed/?term=Oas1b", "Oas1b")</f>
        <v>Oas1b</v>
      </c>
      <c r="C345" s="6">
        <v>1.625</v>
      </c>
      <c r="D345" s="18">
        <v>3.5449999999999999</v>
      </c>
      <c r="E345" s="6">
        <v>1.3049999999999999</v>
      </c>
    </row>
    <row r="346" spans="1:5" x14ac:dyDescent="0.25">
      <c r="A346" t="s">
        <v>868</v>
      </c>
      <c r="B346" s="1" t="str">
        <f>HYPERLINK("http://www.ncbi.nlm.nih.gov/pubmed/?term=Myog", "Myog")</f>
        <v>Myog</v>
      </c>
      <c r="C346" s="12">
        <v>-3.9870000000000001</v>
      </c>
      <c r="D346" s="18">
        <v>3.7280000000000002</v>
      </c>
      <c r="E346" s="16">
        <v>2.431</v>
      </c>
    </row>
    <row r="347" spans="1:5" x14ac:dyDescent="0.25">
      <c r="A347" t="s">
        <v>1463</v>
      </c>
      <c r="B347" s="1" t="str">
        <f>HYPERLINK("http://www.ncbi.nlm.nih.gov/pubmed/?term=D330028D13Rik", "D330028D13Rik")</f>
        <v>D330028D13Rik</v>
      </c>
      <c r="C347" s="12">
        <v>-0.1241</v>
      </c>
      <c r="D347" s="18">
        <v>3.802</v>
      </c>
      <c r="E347" s="16">
        <v>2.7559999999999998</v>
      </c>
    </row>
    <row r="348" spans="1:5" x14ac:dyDescent="0.25">
      <c r="A348" t="s">
        <v>1678</v>
      </c>
      <c r="B348" s="1" t="str">
        <f>HYPERLINK("http://www.ncbi.nlm.nih.gov/pubmed/?term=Fhl2", "Fhl2")</f>
        <v>Fhl2</v>
      </c>
      <c r="C348" s="12">
        <v>0.68730000000000002</v>
      </c>
      <c r="D348" s="18">
        <v>3.3220000000000001</v>
      </c>
      <c r="E348" s="12">
        <v>-0.90480000000000005</v>
      </c>
    </row>
    <row r="349" spans="1:5" x14ac:dyDescent="0.25">
      <c r="A349" t="s">
        <v>1000</v>
      </c>
      <c r="B349" s="1" t="str">
        <f>HYPERLINK("http://www.ncbi.nlm.nih.gov/pubmed/?term=Ncam1", "Ncam1")</f>
        <v>Ncam1</v>
      </c>
      <c r="C349" s="12">
        <v>-1.847</v>
      </c>
      <c r="D349" s="18">
        <v>3.5230000000000001</v>
      </c>
      <c r="E349" s="6">
        <v>1.589</v>
      </c>
    </row>
    <row r="350" spans="1:5" x14ac:dyDescent="0.25">
      <c r="A350" t="s">
        <v>1419</v>
      </c>
      <c r="B350" s="1" t="str">
        <f>HYPERLINK("http://www.ncbi.nlm.nih.gov/pubmed/?term=2410022L05Rik", "2410022L05Rik")</f>
        <v>2410022L05Rik</v>
      </c>
      <c r="C350" s="16">
        <v>2.1469999999999998</v>
      </c>
      <c r="D350" s="18">
        <v>3.6509999999999998</v>
      </c>
      <c r="E350" s="16">
        <v>2.165</v>
      </c>
    </row>
    <row r="351" spans="1:5" x14ac:dyDescent="0.25">
      <c r="A351" t="s">
        <v>747</v>
      </c>
      <c r="B351" s="1" t="str">
        <f>HYPERLINK("http://www.ncbi.nlm.nih.gov/pubmed/?term=Pdzk1ip1", "Pdzk1ip1")</f>
        <v>Pdzk1ip1</v>
      </c>
      <c r="C351" s="12">
        <v>-2.4740000000000002</v>
      </c>
      <c r="D351" s="18">
        <v>3.7749999999999999</v>
      </c>
      <c r="E351" s="16">
        <v>2.7250000000000001</v>
      </c>
    </row>
    <row r="352" spans="1:5" x14ac:dyDescent="0.25">
      <c r="A352" t="s">
        <v>1221</v>
      </c>
      <c r="B352" s="1" t="str">
        <f>HYPERLINK("http://www.ncbi.nlm.nih.gov/pubmed/?term=Rbm15b", "Rbm15b")</f>
        <v>Rbm15b</v>
      </c>
      <c r="C352" s="16">
        <v>2.3559999999999999</v>
      </c>
      <c r="D352" s="18">
        <v>3.6869999999999998</v>
      </c>
      <c r="E352" s="6">
        <v>1.86</v>
      </c>
    </row>
    <row r="353" spans="1:5" x14ac:dyDescent="0.25">
      <c r="A353" t="s">
        <v>143</v>
      </c>
      <c r="B353" s="1" t="str">
        <f>HYPERLINK("http://www.ncbi.nlm.nih.gov/pubmed/?term=Nradd", "Nradd")</f>
        <v>Nradd</v>
      </c>
      <c r="C353" s="12">
        <v>-0.1986</v>
      </c>
      <c r="D353" s="18">
        <v>3.4550000000000001</v>
      </c>
      <c r="E353" s="6">
        <v>1.373</v>
      </c>
    </row>
    <row r="354" spans="1:5" x14ac:dyDescent="0.25">
      <c r="A354" t="s">
        <v>477</v>
      </c>
      <c r="B354" s="1" t="str">
        <f>HYPERLINK("http://www.ncbi.nlm.nih.gov/pubmed/?term=Rdh12", "Rdh12")</f>
        <v>Rdh12</v>
      </c>
      <c r="C354" s="6">
        <v>1.899</v>
      </c>
      <c r="D354" s="18">
        <v>3.673</v>
      </c>
      <c r="E354" s="16">
        <v>2.3199999999999998</v>
      </c>
    </row>
    <row r="355" spans="1:5" x14ac:dyDescent="0.25">
      <c r="A355" t="s">
        <v>1994</v>
      </c>
      <c r="B355" s="1" t="str">
        <f>HYPERLINK("http://www.ncbi.nlm.nih.gov/pubmed/?term=Socs2", "Socs2")</f>
        <v>Socs2</v>
      </c>
      <c r="C355" s="12">
        <v>-1.0620000000000001</v>
      </c>
      <c r="D355" s="18">
        <v>3.5369999999999999</v>
      </c>
      <c r="E355" s="6">
        <v>1.7450000000000001</v>
      </c>
    </row>
    <row r="356" spans="1:5" x14ac:dyDescent="0.25">
      <c r="A356" t="s">
        <v>254</v>
      </c>
      <c r="B356" s="1" t="str">
        <f>HYPERLINK("http://www.ncbi.nlm.nih.gov/pubmed/?term=Klhl24", "Klhl24")</f>
        <v>Klhl24</v>
      </c>
      <c r="C356" s="16">
        <v>2.6850000000000001</v>
      </c>
      <c r="D356" s="18">
        <v>3.7490000000000001</v>
      </c>
      <c r="E356" s="16">
        <v>2.5529999999999999</v>
      </c>
    </row>
    <row r="357" spans="1:5" x14ac:dyDescent="0.25">
      <c r="A357" t="s">
        <v>1106</v>
      </c>
      <c r="B357" s="1" t="str">
        <f>HYPERLINK("http://www.ncbi.nlm.nih.gov/pubmed/?term=Pld2", "Pld2")</f>
        <v>Pld2</v>
      </c>
      <c r="C357" s="6">
        <v>1.607</v>
      </c>
      <c r="D357" s="18">
        <v>3.5720000000000001</v>
      </c>
      <c r="E357" s="16">
        <v>2.0129999999999999</v>
      </c>
    </row>
    <row r="358" spans="1:5" x14ac:dyDescent="0.25">
      <c r="A358" t="s">
        <v>766</v>
      </c>
      <c r="B358" s="1" t="str">
        <f>HYPERLINK("http://www.ncbi.nlm.nih.gov/pubmed/?term=Slc4a7", "Slc4a7")</f>
        <v>Slc4a7</v>
      </c>
      <c r="C358" s="6">
        <v>1.4019999999999999</v>
      </c>
      <c r="D358" s="18">
        <v>3.5369999999999999</v>
      </c>
      <c r="E358" s="6">
        <v>1.9730000000000001</v>
      </c>
    </row>
    <row r="359" spans="1:5" x14ac:dyDescent="0.25">
      <c r="A359" t="s">
        <v>371</v>
      </c>
      <c r="B359" s="1" t="str">
        <f>HYPERLINK("http://www.ncbi.nlm.nih.gov/pubmed/?term=Rnf150", "Rnf150")</f>
        <v>Rnf150</v>
      </c>
      <c r="C359" s="6">
        <v>1.99</v>
      </c>
      <c r="D359" s="18">
        <v>3.5510000000000002</v>
      </c>
      <c r="E359" s="16">
        <v>2.044</v>
      </c>
    </row>
    <row r="360" spans="1:5" x14ac:dyDescent="0.25">
      <c r="A360" t="s">
        <v>212</v>
      </c>
      <c r="B360" s="1" t="str">
        <f>HYPERLINK("http://www.ncbi.nlm.nih.gov/pubmed/?term=Ptprv", "Ptprv")</f>
        <v>Ptprv</v>
      </c>
      <c r="C360" s="12">
        <v>-1.8560000000000001</v>
      </c>
      <c r="D360" s="18">
        <v>3.423</v>
      </c>
      <c r="E360" s="6">
        <v>1.528</v>
      </c>
    </row>
    <row r="361" spans="1:5" x14ac:dyDescent="0.25">
      <c r="A361" t="s">
        <v>474</v>
      </c>
      <c r="B361" s="1" t="str">
        <f>HYPERLINK("http://www.ncbi.nlm.nih.gov/pubmed/?term=Engase", "Engase")</f>
        <v>Engase</v>
      </c>
      <c r="C361" s="6">
        <v>1.119</v>
      </c>
      <c r="D361" s="18">
        <v>3.4969999999999999</v>
      </c>
      <c r="E361" s="6">
        <v>1.92</v>
      </c>
    </row>
    <row r="362" spans="1:5" x14ac:dyDescent="0.25">
      <c r="A362" t="s">
        <v>924</v>
      </c>
      <c r="B362" s="1" t="str">
        <f>HYPERLINK("http://www.ncbi.nlm.nih.gov/pubmed/?term=Kirrel3", "Kirrel3")</f>
        <v>Kirrel3</v>
      </c>
      <c r="C362" s="16">
        <v>2.2149999999999999</v>
      </c>
      <c r="D362" s="18">
        <v>3.5630000000000002</v>
      </c>
      <c r="E362" s="12">
        <v>0.5091</v>
      </c>
    </row>
    <row r="363" spans="1:5" x14ac:dyDescent="0.25">
      <c r="A363" t="s">
        <v>926</v>
      </c>
      <c r="B363" s="1" t="str">
        <f>HYPERLINK("http://www.ncbi.nlm.nih.gov/pubmed/?term=Nrarp", "Nrarp")</f>
        <v>Nrarp</v>
      </c>
      <c r="C363" s="16">
        <v>2.1259999999999999</v>
      </c>
      <c r="D363" s="18">
        <v>3.577</v>
      </c>
      <c r="E363" s="16">
        <v>2.2890000000000001</v>
      </c>
    </row>
    <row r="364" spans="1:5" x14ac:dyDescent="0.25">
      <c r="A364" t="s">
        <v>424</v>
      </c>
      <c r="B364" s="1" t="str">
        <f>HYPERLINK("http://www.ncbi.nlm.nih.gov/pubmed/?term=Pgcp", "Pgcp")</f>
        <v>Pgcp</v>
      </c>
      <c r="C364" s="6">
        <v>1.859</v>
      </c>
      <c r="D364" s="18">
        <v>3.645</v>
      </c>
      <c r="E364" s="16">
        <v>2.585</v>
      </c>
    </row>
    <row r="365" spans="1:5" x14ac:dyDescent="0.25">
      <c r="A365" t="s">
        <v>724</v>
      </c>
      <c r="B365" s="1" t="str">
        <f>HYPERLINK("http://www.ncbi.nlm.nih.gov/pubmed/?term=B4galt6", "B4galt6")</f>
        <v>B4galt6</v>
      </c>
      <c r="C365" s="12">
        <v>-2.161</v>
      </c>
      <c r="D365" s="18">
        <v>3.45</v>
      </c>
      <c r="E365" s="6">
        <v>1.7789999999999999</v>
      </c>
    </row>
    <row r="366" spans="1:5" x14ac:dyDescent="0.25">
      <c r="A366" t="s">
        <v>832</v>
      </c>
      <c r="B366" s="1" t="str">
        <f>HYPERLINK("http://www.ncbi.nlm.nih.gov/pubmed/?term=Lypd2", "Lypd2")</f>
        <v>Lypd2</v>
      </c>
      <c r="C366" s="12">
        <v>-1.4219999999999999</v>
      </c>
      <c r="D366" s="18">
        <v>3.339</v>
      </c>
      <c r="E366" s="6">
        <v>1.325</v>
      </c>
    </row>
    <row r="367" spans="1:5" x14ac:dyDescent="0.25">
      <c r="A367" t="s">
        <v>1011</v>
      </c>
      <c r="B367" s="1" t="str">
        <f>HYPERLINK("http://www.ncbi.nlm.nih.gov/pubmed/?term=Dbn1", "Dbn1")</f>
        <v>Dbn1</v>
      </c>
      <c r="C367" s="16">
        <v>2.27</v>
      </c>
      <c r="D367" s="18">
        <v>3.5550000000000002</v>
      </c>
      <c r="E367" s="12">
        <v>0.49419999999999997</v>
      </c>
    </row>
    <row r="368" spans="1:5" x14ac:dyDescent="0.25">
      <c r="A368" t="s">
        <v>1573</v>
      </c>
      <c r="B368" s="1" t="str">
        <f>HYPERLINK("http://www.ncbi.nlm.nih.gov/pubmed/?term=Pcdh1", "Pcdh1")</f>
        <v>Pcdh1</v>
      </c>
      <c r="C368" s="12">
        <v>-1.95</v>
      </c>
      <c r="D368" s="18">
        <v>3.4940000000000002</v>
      </c>
      <c r="E368" s="16">
        <v>2.0489999999999999</v>
      </c>
    </row>
    <row r="369" spans="1:5" x14ac:dyDescent="0.25">
      <c r="A369" t="s">
        <v>1635</v>
      </c>
      <c r="B369" s="1" t="str">
        <f>HYPERLINK("http://www.ncbi.nlm.nih.gov/pubmed/?term=Zfp428", "Zfp428")</f>
        <v>Zfp428</v>
      </c>
      <c r="C369" s="16">
        <v>2.532</v>
      </c>
      <c r="D369" s="18">
        <v>3.6030000000000002</v>
      </c>
      <c r="E369" s="16">
        <v>2.012</v>
      </c>
    </row>
    <row r="370" spans="1:5" x14ac:dyDescent="0.25">
      <c r="A370" t="s">
        <v>1476</v>
      </c>
      <c r="B370" s="1" t="str">
        <f>HYPERLINK("http://www.ncbi.nlm.nih.gov/pubmed/?term=Rhov", "Rhov")</f>
        <v>Rhov</v>
      </c>
      <c r="C370" s="12">
        <v>0.74239999999999995</v>
      </c>
      <c r="D370" s="18">
        <v>3.5590000000000002</v>
      </c>
      <c r="E370" s="16">
        <v>2.3450000000000002</v>
      </c>
    </row>
    <row r="371" spans="1:5" x14ac:dyDescent="0.25">
      <c r="A371" t="s">
        <v>242</v>
      </c>
      <c r="B371" s="1" t="str">
        <f>HYPERLINK("http://www.ncbi.nlm.nih.gov/pubmed/?term=Cplx2", "Cplx2")</f>
        <v>Cplx2</v>
      </c>
      <c r="C371" s="16">
        <v>2.4380000000000002</v>
      </c>
      <c r="D371" s="18">
        <v>3.58</v>
      </c>
      <c r="E371" s="6">
        <v>1.4870000000000001</v>
      </c>
    </row>
    <row r="372" spans="1:5" x14ac:dyDescent="0.25">
      <c r="A372" t="s">
        <v>1560</v>
      </c>
      <c r="B372" s="1" t="str">
        <f>HYPERLINK("http://www.ncbi.nlm.nih.gov/pubmed/?term=Ggt6", "Ggt6")</f>
        <v>Ggt6</v>
      </c>
      <c r="C372" s="12">
        <v>0.77590000000000003</v>
      </c>
      <c r="D372" s="18">
        <v>3.3250000000000002</v>
      </c>
      <c r="E372" s="6">
        <v>1.339</v>
      </c>
    </row>
    <row r="373" spans="1:5" x14ac:dyDescent="0.25">
      <c r="A373" t="s">
        <v>1574</v>
      </c>
      <c r="B373" s="1" t="str">
        <f>HYPERLINK("http://www.ncbi.nlm.nih.gov/pubmed/?term=Sorbs3", "Sorbs3")</f>
        <v>Sorbs3</v>
      </c>
      <c r="C373" s="6">
        <v>1.8120000000000001</v>
      </c>
      <c r="D373" s="18">
        <v>3.4319999999999999</v>
      </c>
      <c r="E373" s="12">
        <v>0.86909999999999998</v>
      </c>
    </row>
    <row r="374" spans="1:5" x14ac:dyDescent="0.25">
      <c r="A374" t="s">
        <v>1320</v>
      </c>
      <c r="B374" s="1" t="str">
        <f>HYPERLINK("http://www.ncbi.nlm.nih.gov/pubmed/?term=Sfxn3", "Sfxn3")</f>
        <v>Sfxn3</v>
      </c>
      <c r="C374" s="16">
        <v>2.2829999999999999</v>
      </c>
      <c r="D374" s="18">
        <v>3.5179999999999998</v>
      </c>
      <c r="E374" s="16">
        <v>2.1619999999999999</v>
      </c>
    </row>
    <row r="375" spans="1:5" x14ac:dyDescent="0.25">
      <c r="A375" t="s">
        <v>1713</v>
      </c>
      <c r="B375" s="1" t="str">
        <f>HYPERLINK("http://www.ncbi.nlm.nih.gov/pubmed/?term=Syne1", "Syne1")</f>
        <v>Syne1</v>
      </c>
      <c r="C375" s="16">
        <v>2.149</v>
      </c>
      <c r="D375" s="18">
        <v>3.4660000000000002</v>
      </c>
      <c r="E375" s="16">
        <v>2.1160000000000001</v>
      </c>
    </row>
    <row r="376" spans="1:5" x14ac:dyDescent="0.25">
      <c r="A376" t="s">
        <v>282</v>
      </c>
      <c r="B376" s="1" t="str">
        <f>HYPERLINK("http://www.ncbi.nlm.nih.gov/pubmed/?term=Slfn8", "Slfn8")</f>
        <v>Slfn8</v>
      </c>
      <c r="C376" s="6">
        <v>1.766</v>
      </c>
      <c r="D376" s="18">
        <v>3.367</v>
      </c>
      <c r="E376" s="12">
        <v>5.237E-2</v>
      </c>
    </row>
    <row r="377" spans="1:5" x14ac:dyDescent="0.25">
      <c r="A377" t="s">
        <v>1143</v>
      </c>
      <c r="B377" s="1" t="str">
        <f>HYPERLINK("http://www.ncbi.nlm.nih.gov/pubmed/?term=Sprr2a3", "Sprr2a3")</f>
        <v>Sprr2a3</v>
      </c>
      <c r="C377" s="6">
        <v>1.218</v>
      </c>
      <c r="D377" s="18">
        <v>3.3660000000000001</v>
      </c>
      <c r="E377" s="6">
        <v>1.806</v>
      </c>
    </row>
    <row r="378" spans="1:5" x14ac:dyDescent="0.25">
      <c r="A378" t="s">
        <v>443</v>
      </c>
      <c r="B378" s="1" t="str">
        <f>HYPERLINK("http://www.ncbi.nlm.nih.gov/pubmed/?term=Sema3a", "Sema3a")</f>
        <v>Sema3a</v>
      </c>
      <c r="C378" s="6">
        <v>1.7629999999999999</v>
      </c>
      <c r="D378" s="18">
        <v>3.4049999999999998</v>
      </c>
      <c r="E378" s="6">
        <v>1.9890000000000001</v>
      </c>
    </row>
    <row r="379" spans="1:5" x14ac:dyDescent="0.25">
      <c r="A379" t="s">
        <v>1040</v>
      </c>
      <c r="B379" s="1" t="str">
        <f>HYPERLINK("http://www.ncbi.nlm.nih.gov/pubmed/?term=Il10", "Il10")</f>
        <v>Il10</v>
      </c>
      <c r="C379" s="12">
        <v>-4.3019999999999996</v>
      </c>
      <c r="D379" s="18">
        <v>3.4460000000000002</v>
      </c>
      <c r="E379" s="16">
        <v>2.1880000000000002</v>
      </c>
    </row>
    <row r="380" spans="1:5" x14ac:dyDescent="0.25">
      <c r="A380" t="s">
        <v>1662</v>
      </c>
      <c r="B380" s="1" t="str">
        <f>HYPERLINK("http://www.ncbi.nlm.nih.gov/pubmed/?term=Fam115a", "Fam115a")</f>
        <v>Fam115a</v>
      </c>
      <c r="C380" s="16">
        <v>2.395</v>
      </c>
      <c r="D380" s="18">
        <v>3.4889999999999999</v>
      </c>
      <c r="E380" s="16">
        <v>2.3860000000000001</v>
      </c>
    </row>
    <row r="381" spans="1:5" x14ac:dyDescent="0.25">
      <c r="A381" t="s">
        <v>549</v>
      </c>
      <c r="B381" s="1" t="str">
        <f>HYPERLINK("http://www.ncbi.nlm.nih.gov/pubmed/?term=C1ra", "C1ra")</f>
        <v>C1ra</v>
      </c>
      <c r="C381" s="6">
        <v>1.8440000000000001</v>
      </c>
      <c r="D381" s="18">
        <v>3.3610000000000002</v>
      </c>
      <c r="E381" s="12">
        <v>-1.4650000000000001</v>
      </c>
    </row>
    <row r="382" spans="1:5" x14ac:dyDescent="0.25">
      <c r="A382" t="s">
        <v>2040</v>
      </c>
      <c r="B382" s="1" t="str">
        <f>HYPERLINK("http://www.ncbi.nlm.nih.gov/pubmed/?term=Slc9a9", "Slc9a9")</f>
        <v>Slc9a9</v>
      </c>
      <c r="C382" s="16">
        <v>2.3959999999999999</v>
      </c>
      <c r="D382" s="18">
        <v>3.4729999999999999</v>
      </c>
      <c r="E382" s="16">
        <v>2.3359999999999999</v>
      </c>
    </row>
    <row r="383" spans="1:5" x14ac:dyDescent="0.25">
      <c r="A383" t="s">
        <v>552</v>
      </c>
      <c r="B383" s="1" t="str">
        <f>HYPERLINK("http://www.ncbi.nlm.nih.gov/pubmed/?term=Hamp2", "Hamp2")</f>
        <v>Hamp2</v>
      </c>
      <c r="C383" s="12">
        <v>-4.2119999999999997</v>
      </c>
      <c r="D383" s="18">
        <v>3.4510000000000001</v>
      </c>
      <c r="E383" s="16">
        <v>2.3460000000000001</v>
      </c>
    </row>
    <row r="384" spans="1:5" x14ac:dyDescent="0.25">
      <c r="A384" t="s">
        <v>1231</v>
      </c>
      <c r="B384" s="1" t="str">
        <f>HYPERLINK("http://www.ncbi.nlm.nih.gov/pubmed/?term=Prosapip1", "Prosapip1")</f>
        <v>Prosapip1</v>
      </c>
      <c r="C384" s="6">
        <v>1.7509999999999999</v>
      </c>
      <c r="D384" s="18">
        <v>3.3879999999999999</v>
      </c>
      <c r="E384" s="16">
        <v>2.194</v>
      </c>
    </row>
  </sheetData>
  <autoFilter ref="A1:E38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5"/>
  <sheetViews>
    <sheetView workbookViewId="0"/>
  </sheetViews>
  <sheetFormatPr defaultRowHeight="15" x14ac:dyDescent="0.25"/>
  <cols>
    <col min="1" max="1" width="11" customWidth="1"/>
    <col min="2" max="2" width="13" customWidth="1"/>
    <col min="3" max="5" width="39.140625" customWidth="1"/>
  </cols>
  <sheetData>
    <row r="1" spans="1:5" x14ac:dyDescent="0.25">
      <c r="A1" s="17" t="s">
        <v>1534</v>
      </c>
      <c r="B1" s="17" t="s">
        <v>1232</v>
      </c>
      <c r="C1" s="17" t="s">
        <v>2073</v>
      </c>
      <c r="D1" s="17" t="s">
        <v>2074</v>
      </c>
      <c r="E1" s="17" t="s">
        <v>2075</v>
      </c>
    </row>
    <row r="2" spans="1:5" x14ac:dyDescent="0.25">
      <c r="A2" t="s">
        <v>1857</v>
      </c>
      <c r="B2" s="1" t="str">
        <f>HYPERLINK("http://www.ncbi.nlm.nih.gov/pubmed/?term=H2-Ab1", "H2-Ab1")</f>
        <v>H2-Ab1</v>
      </c>
      <c r="C2" s="21">
        <v>10.67</v>
      </c>
      <c r="D2" s="21">
        <v>10.31</v>
      </c>
      <c r="E2" s="19">
        <v>12.36</v>
      </c>
    </row>
    <row r="3" spans="1:5" x14ac:dyDescent="0.25">
      <c r="A3" t="s">
        <v>1943</v>
      </c>
      <c r="B3" s="1" t="str">
        <f>HYPERLINK("http://www.ncbi.nlm.nih.gov/pubmed/?term=H2-Eb1", "H2-Eb1")</f>
        <v>H2-Eb1</v>
      </c>
      <c r="C3" s="14">
        <v>9.7219999999999995</v>
      </c>
      <c r="D3" s="14">
        <v>9.8309999999999995</v>
      </c>
      <c r="E3" s="19">
        <v>11.67</v>
      </c>
    </row>
    <row r="4" spans="1:5" x14ac:dyDescent="0.25">
      <c r="A4" t="s">
        <v>224</v>
      </c>
      <c r="B4" s="1" t="str">
        <f>HYPERLINK("http://www.ncbi.nlm.nih.gov/pubmed/?term=4921517L17Rik", "4921517L17Rik")</f>
        <v>4921517L17Rik</v>
      </c>
      <c r="C4" s="13">
        <v>6.2329999999999997</v>
      </c>
      <c r="D4" s="15">
        <v>7.4109999999999996</v>
      </c>
      <c r="E4" s="21">
        <v>10.96</v>
      </c>
    </row>
    <row r="5" spans="1:5" x14ac:dyDescent="0.25">
      <c r="A5" t="s">
        <v>2058</v>
      </c>
      <c r="B5" s="1" t="str">
        <f>HYPERLINK("http://www.ncbi.nlm.nih.gov/pubmed/?term=Actb", "Actb")</f>
        <v>Actb</v>
      </c>
      <c r="C5" s="14">
        <v>9.7509999999999994</v>
      </c>
      <c r="D5" s="21">
        <v>10.18</v>
      </c>
      <c r="E5" s="19">
        <v>11.23</v>
      </c>
    </row>
    <row r="6" spans="1:5" x14ac:dyDescent="0.25">
      <c r="A6" t="s">
        <v>1595</v>
      </c>
      <c r="B6" s="1" t="str">
        <f>HYPERLINK("http://www.ncbi.nlm.nih.gov/pubmed/?term=Ubd", "Ubd")</f>
        <v>Ubd</v>
      </c>
      <c r="C6" s="20">
        <v>4.72</v>
      </c>
      <c r="D6" s="15">
        <v>7.8719999999999999</v>
      </c>
      <c r="E6" s="21">
        <v>10.57</v>
      </c>
    </row>
    <row r="7" spans="1:5" x14ac:dyDescent="0.25">
      <c r="A7" t="s">
        <v>1494</v>
      </c>
      <c r="B7" s="1" t="str">
        <f>HYPERLINK("http://www.ncbi.nlm.nih.gov/pubmed/?term=Srgn", "Srgn")</f>
        <v>Srgn</v>
      </c>
      <c r="C7" s="22">
        <v>3.621</v>
      </c>
      <c r="D7" s="15">
        <v>7.4560000000000004</v>
      </c>
      <c r="E7" s="21">
        <v>10.37</v>
      </c>
    </row>
    <row r="8" spans="1:5" x14ac:dyDescent="0.25">
      <c r="A8" t="s">
        <v>1701</v>
      </c>
      <c r="B8" s="1" t="str">
        <f>HYPERLINK("http://www.ncbi.nlm.nih.gov/pubmed/?term=Csn2", "Csn2")</f>
        <v>Csn2</v>
      </c>
      <c r="C8" s="11">
        <v>1.111</v>
      </c>
      <c r="D8" s="20">
        <v>4.9089999999999998</v>
      </c>
      <c r="E8" s="14">
        <v>9.7590000000000003</v>
      </c>
    </row>
    <row r="9" spans="1:5" x14ac:dyDescent="0.25">
      <c r="A9" t="s">
        <v>214</v>
      </c>
      <c r="B9" s="1" t="str">
        <f>HYPERLINK("http://www.ncbi.nlm.nih.gov/pubmed/?term=Cd52", "Cd52")</f>
        <v>Cd52</v>
      </c>
      <c r="C9" s="3">
        <v>2.431</v>
      </c>
      <c r="D9" s="22">
        <v>3.7490000000000001</v>
      </c>
      <c r="E9" s="14">
        <v>9.2919999999999998</v>
      </c>
    </row>
    <row r="10" spans="1:5" x14ac:dyDescent="0.25">
      <c r="A10" t="s">
        <v>538</v>
      </c>
      <c r="B10" s="1" t="str">
        <f>HYPERLINK("http://www.ncbi.nlm.nih.gov/pubmed/?term=Hdc", "Hdc")</f>
        <v>Hdc</v>
      </c>
      <c r="C10" s="12">
        <v>-9.0130000000000002E-2</v>
      </c>
      <c r="D10" s="22">
        <v>3.669</v>
      </c>
      <c r="E10" s="14">
        <v>9.2420000000000009</v>
      </c>
    </row>
    <row r="11" spans="1:5" x14ac:dyDescent="0.25">
      <c r="A11" t="s">
        <v>1555</v>
      </c>
      <c r="B11" s="1" t="str">
        <f>HYPERLINK("http://www.ncbi.nlm.nih.gov/pubmed/?term=S100a14", "S100a14")</f>
        <v>S100a14</v>
      </c>
      <c r="C11" s="13">
        <v>6.4390000000000001</v>
      </c>
      <c r="D11" s="13">
        <v>6.3970000000000002</v>
      </c>
      <c r="E11" s="14">
        <v>9.6809999999999992</v>
      </c>
    </row>
    <row r="12" spans="1:5" x14ac:dyDescent="0.25">
      <c r="A12" t="s">
        <v>1988</v>
      </c>
      <c r="B12" s="1" t="str">
        <f>HYPERLINK("http://www.ncbi.nlm.nih.gov/pubmed/?term=D17H6S56E-5", "D17H6S56E-5")</f>
        <v>D17H6S56E-5</v>
      </c>
      <c r="C12" s="15">
        <v>7.3959999999999999</v>
      </c>
      <c r="D12" s="15">
        <v>7.1369999999999996</v>
      </c>
      <c r="E12" s="14">
        <v>9.8919999999999995</v>
      </c>
    </row>
    <row r="13" spans="1:5" x14ac:dyDescent="0.25">
      <c r="A13" t="s">
        <v>1776</v>
      </c>
      <c r="B13" s="1" t="str">
        <f>HYPERLINK("http://www.ncbi.nlm.nih.gov/pubmed/?term=H2-Eb2", "H2-Eb2")</f>
        <v>H2-Eb2</v>
      </c>
      <c r="C13" s="22">
        <v>3.7170000000000001</v>
      </c>
      <c r="D13" s="20">
        <v>4.1449999999999996</v>
      </c>
      <c r="E13" s="5">
        <v>8.9659999999999993</v>
      </c>
    </row>
    <row r="14" spans="1:5" x14ac:dyDescent="0.25">
      <c r="A14" t="s">
        <v>209</v>
      </c>
      <c r="B14" s="1" t="str">
        <f>HYPERLINK("http://www.ncbi.nlm.nih.gov/pubmed/?term=Nfkbia", "Nfkbia")</f>
        <v>Nfkbia</v>
      </c>
      <c r="C14" s="15">
        <v>7.577</v>
      </c>
      <c r="D14" s="15">
        <v>7.5250000000000004</v>
      </c>
      <c r="E14" s="14">
        <v>9.6739999999999995</v>
      </c>
    </row>
    <row r="15" spans="1:5" x14ac:dyDescent="0.25">
      <c r="A15" t="s">
        <v>1192</v>
      </c>
      <c r="B15" s="1" t="str">
        <f>HYPERLINK("http://www.ncbi.nlm.nih.gov/pubmed/?term=Laptm5", "Laptm5")</f>
        <v>Laptm5</v>
      </c>
      <c r="C15" s="22">
        <v>3.82</v>
      </c>
      <c r="D15" s="13">
        <v>6.4189999999999996</v>
      </c>
      <c r="E15" s="14">
        <v>9.391</v>
      </c>
    </row>
    <row r="16" spans="1:5" x14ac:dyDescent="0.25">
      <c r="A16" t="s">
        <v>1820</v>
      </c>
      <c r="B16" s="1" t="str">
        <f>HYPERLINK("http://www.ncbi.nlm.nih.gov/pubmed/?term=Fabp4", "Fabp4")</f>
        <v>Fabp4</v>
      </c>
      <c r="C16" s="20">
        <v>4.625</v>
      </c>
      <c r="D16" s="4">
        <v>5.9989999999999997</v>
      </c>
      <c r="E16" s="14">
        <v>9.2550000000000008</v>
      </c>
    </row>
    <row r="17" spans="1:5" x14ac:dyDescent="0.25">
      <c r="A17" t="s">
        <v>2059</v>
      </c>
      <c r="B17" s="1" t="str">
        <f>HYPERLINK("http://www.ncbi.nlm.nih.gov/pubmed/?term=Fscn1", "Fscn1")</f>
        <v>Fscn1</v>
      </c>
      <c r="C17" s="22">
        <v>3.8679999999999999</v>
      </c>
      <c r="D17" s="4">
        <v>5.0869999999999997</v>
      </c>
      <c r="E17" s="5">
        <v>8.9960000000000004</v>
      </c>
    </row>
    <row r="18" spans="1:5" x14ac:dyDescent="0.25">
      <c r="A18" t="s">
        <v>670</v>
      </c>
      <c r="B18" s="1" t="str">
        <f>HYPERLINK("http://www.ncbi.nlm.nih.gov/pubmed/?term=Il13", "Il13")</f>
        <v>Il13</v>
      </c>
      <c r="C18" s="12">
        <v>-1.9550000000000001</v>
      </c>
      <c r="D18" s="12">
        <v>0.14480000000000001</v>
      </c>
      <c r="E18" s="15">
        <v>7.7869999999999999</v>
      </c>
    </row>
    <row r="19" spans="1:5" x14ac:dyDescent="0.25">
      <c r="A19" t="s">
        <v>1189</v>
      </c>
      <c r="B19" s="1" t="str">
        <f>HYPERLINK("http://www.ncbi.nlm.nih.gov/pubmed/?term=Lrrc42", "Lrrc42")</f>
        <v>Lrrc42</v>
      </c>
      <c r="C19" s="13">
        <v>6.6719999999999997</v>
      </c>
      <c r="D19" s="13">
        <v>6.968</v>
      </c>
      <c r="E19" s="14">
        <v>9.3610000000000007</v>
      </c>
    </row>
    <row r="20" spans="1:5" x14ac:dyDescent="0.25">
      <c r="A20" t="s">
        <v>1004</v>
      </c>
      <c r="B20" s="1" t="str">
        <f>HYPERLINK("http://www.ncbi.nlm.nih.gov/pubmed/?term=Hspa5", "Hspa5")</f>
        <v>Hspa5</v>
      </c>
      <c r="C20" s="15">
        <v>7.9160000000000004</v>
      </c>
      <c r="D20" s="15">
        <v>7.7110000000000003</v>
      </c>
      <c r="E20" s="14">
        <v>9.58</v>
      </c>
    </row>
    <row r="21" spans="1:5" x14ac:dyDescent="0.25">
      <c r="A21" t="s">
        <v>1081</v>
      </c>
      <c r="B21" s="1" t="str">
        <f>HYPERLINK("http://www.ncbi.nlm.nih.gov/pubmed/?term=Hsp90b1", "Hsp90b1")</f>
        <v>Hsp90b1</v>
      </c>
      <c r="C21" s="15">
        <v>7.7949999999999999</v>
      </c>
      <c r="D21" s="5">
        <v>8.4410000000000007</v>
      </c>
      <c r="E21" s="14">
        <v>9.6780000000000008</v>
      </c>
    </row>
    <row r="22" spans="1:5" x14ac:dyDescent="0.25">
      <c r="A22" t="s">
        <v>1278</v>
      </c>
      <c r="B22" s="1" t="str">
        <f>HYPERLINK("http://www.ncbi.nlm.nih.gov/pubmed/?term=Fgf21", "Fgf21")</f>
        <v>Fgf21</v>
      </c>
      <c r="C22" s="11">
        <v>1.631</v>
      </c>
      <c r="D22" s="4">
        <v>5.2169999999999996</v>
      </c>
      <c r="E22" s="5">
        <v>8.82</v>
      </c>
    </row>
    <row r="23" spans="1:5" x14ac:dyDescent="0.25">
      <c r="A23" t="s">
        <v>47</v>
      </c>
      <c r="B23" s="1" t="str">
        <f>HYPERLINK("http://www.ncbi.nlm.nih.gov/pubmed/?term=Calcb", "Calcb")</f>
        <v>Calcb</v>
      </c>
      <c r="C23" s="12">
        <v>-0.66779999999999995</v>
      </c>
      <c r="D23" s="22">
        <v>3.9620000000000002</v>
      </c>
      <c r="E23" s="5">
        <v>8.5289999999999999</v>
      </c>
    </row>
    <row r="24" spans="1:5" x14ac:dyDescent="0.25">
      <c r="A24" t="s">
        <v>578</v>
      </c>
      <c r="B24" s="1" t="str">
        <f>HYPERLINK("http://www.ncbi.nlm.nih.gov/pubmed/?term=Sncg", "Sncg")</f>
        <v>Sncg</v>
      </c>
      <c r="C24" s="12">
        <v>-0.77390000000000003</v>
      </c>
      <c r="D24" s="20">
        <v>4.2709999999999999</v>
      </c>
      <c r="E24" s="5">
        <v>8.5169999999999995</v>
      </c>
    </row>
    <row r="25" spans="1:5" x14ac:dyDescent="0.25">
      <c r="A25" t="s">
        <v>896</v>
      </c>
      <c r="B25" s="1" t="str">
        <f>HYPERLINK("http://www.ncbi.nlm.nih.gov/pubmed/?term=Ncf1", "Ncf1")</f>
        <v>Ncf1</v>
      </c>
      <c r="C25" s="12">
        <v>-0.30590000000000001</v>
      </c>
      <c r="D25" s="22">
        <v>3.0009999999999999</v>
      </c>
      <c r="E25" s="5">
        <v>8.1969999999999992</v>
      </c>
    </row>
    <row r="26" spans="1:5" x14ac:dyDescent="0.25">
      <c r="A26" t="s">
        <v>639</v>
      </c>
      <c r="B26" s="1" t="str">
        <f>HYPERLINK("http://www.ncbi.nlm.nih.gov/pubmed/?term=Hagh", "Hagh")</f>
        <v>Hagh</v>
      </c>
      <c r="C26" s="4">
        <v>5.9630000000000001</v>
      </c>
      <c r="D26" s="13">
        <v>6.6159999999999997</v>
      </c>
      <c r="E26" s="14">
        <v>9.0079999999999991</v>
      </c>
    </row>
    <row r="27" spans="1:5" x14ac:dyDescent="0.25">
      <c r="A27" t="s">
        <v>239</v>
      </c>
      <c r="B27" s="1" t="str">
        <f>HYPERLINK("http://www.ncbi.nlm.nih.gov/pubmed/?term=Calr", "Calr")</f>
        <v>Calr</v>
      </c>
      <c r="C27" s="5">
        <v>8.0500000000000007</v>
      </c>
      <c r="D27" s="5">
        <v>8.2680000000000007</v>
      </c>
      <c r="E27" s="14">
        <v>9.3420000000000005</v>
      </c>
    </row>
    <row r="28" spans="1:5" x14ac:dyDescent="0.25">
      <c r="A28" t="s">
        <v>708</v>
      </c>
      <c r="B28" s="1" t="str">
        <f>HYPERLINK("http://www.ncbi.nlm.nih.gov/pubmed/?term=Cyba", "Cyba")</f>
        <v>Cyba</v>
      </c>
      <c r="C28" s="3">
        <v>2.4129999999999998</v>
      </c>
      <c r="D28" s="4">
        <v>5.7949999999999999</v>
      </c>
      <c r="E28" s="5">
        <v>8.7479999999999993</v>
      </c>
    </row>
    <row r="29" spans="1:5" x14ac:dyDescent="0.25">
      <c r="A29" t="s">
        <v>1971</v>
      </c>
      <c r="B29" s="1" t="str">
        <f>HYPERLINK("http://www.ncbi.nlm.nih.gov/pubmed/?term=Tkt", "Tkt")</f>
        <v>Tkt</v>
      </c>
      <c r="C29" s="20">
        <v>4.9189999999999996</v>
      </c>
      <c r="D29" s="20">
        <v>4.9800000000000004</v>
      </c>
      <c r="E29" s="5">
        <v>8.5370000000000008</v>
      </c>
    </row>
    <row r="30" spans="1:5" x14ac:dyDescent="0.25">
      <c r="A30" t="s">
        <v>1797</v>
      </c>
      <c r="B30" s="1" t="str">
        <f>HYPERLINK("http://www.ncbi.nlm.nih.gov/pubmed/?term=S100a16", "S100a16")</f>
        <v>S100a16</v>
      </c>
      <c r="C30" s="15">
        <v>7.4720000000000004</v>
      </c>
      <c r="D30" s="15">
        <v>7.1219999999999999</v>
      </c>
      <c r="E30" s="14">
        <v>9.0250000000000004</v>
      </c>
    </row>
    <row r="31" spans="1:5" x14ac:dyDescent="0.25">
      <c r="A31" t="s">
        <v>1728</v>
      </c>
      <c r="B31" s="1" t="str">
        <f>HYPERLINK("http://www.ncbi.nlm.nih.gov/pubmed/?term=S100g", "S100g")</f>
        <v>S100g</v>
      </c>
      <c r="C31" s="12">
        <v>-0.32750000000000001</v>
      </c>
      <c r="D31" s="22">
        <v>3.1949999999999998</v>
      </c>
      <c r="E31" s="15">
        <v>7.9790000000000001</v>
      </c>
    </row>
    <row r="32" spans="1:5" x14ac:dyDescent="0.25">
      <c r="A32" t="s">
        <v>288</v>
      </c>
      <c r="B32" s="1" t="str">
        <f>HYPERLINK("http://www.ncbi.nlm.nih.gov/pubmed/?term=Ptgs2", "Ptgs2")</f>
        <v>Ptgs2</v>
      </c>
      <c r="C32" s="12">
        <v>-7.85E-2</v>
      </c>
      <c r="D32" s="22">
        <v>3.8530000000000002</v>
      </c>
      <c r="E32" s="5">
        <v>8.1</v>
      </c>
    </row>
    <row r="33" spans="1:5" x14ac:dyDescent="0.25">
      <c r="A33" t="s">
        <v>1366</v>
      </c>
      <c r="B33" s="1" t="str">
        <f>HYPERLINK("http://www.ncbi.nlm.nih.gov/pubmed/?term=Icosl", "Icosl")</f>
        <v>Icosl</v>
      </c>
      <c r="C33" s="12">
        <v>0.80230000000000001</v>
      </c>
      <c r="D33" s="4">
        <v>5.1109999999999998</v>
      </c>
      <c r="E33" s="5">
        <v>8.3770000000000007</v>
      </c>
    </row>
    <row r="34" spans="1:5" x14ac:dyDescent="0.25">
      <c r="A34" t="s">
        <v>1790</v>
      </c>
      <c r="B34" s="1" t="str">
        <f>HYPERLINK("http://www.ncbi.nlm.nih.gov/pubmed/?term=Ctsh", "Ctsh")</f>
        <v>Ctsh</v>
      </c>
      <c r="C34" s="12">
        <v>0.2082</v>
      </c>
      <c r="D34" s="4">
        <v>5.093</v>
      </c>
      <c r="E34" s="5">
        <v>8.3290000000000006</v>
      </c>
    </row>
    <row r="35" spans="1:5" x14ac:dyDescent="0.25">
      <c r="A35" t="s">
        <v>1471</v>
      </c>
      <c r="B35" s="1" t="str">
        <f>HYPERLINK("http://www.ncbi.nlm.nih.gov/pubmed/?term=Crhbp", "Crhbp")</f>
        <v>Crhbp</v>
      </c>
      <c r="C35" s="12">
        <v>-1.7549999999999999</v>
      </c>
      <c r="D35" s="11">
        <v>1.931</v>
      </c>
      <c r="E35" s="15">
        <v>7.5970000000000004</v>
      </c>
    </row>
    <row r="36" spans="1:5" x14ac:dyDescent="0.25">
      <c r="A36" t="s">
        <v>811</v>
      </c>
      <c r="B36" s="1" t="str">
        <f>HYPERLINK("http://www.ncbi.nlm.nih.gov/pubmed/?term=Sirt1", "Sirt1")</f>
        <v>Sirt1</v>
      </c>
      <c r="C36" s="22">
        <v>3.1419999999999999</v>
      </c>
      <c r="D36" s="22">
        <v>3.51</v>
      </c>
      <c r="E36" s="15">
        <v>7.8719999999999999</v>
      </c>
    </row>
    <row r="37" spans="1:5" x14ac:dyDescent="0.25">
      <c r="A37" t="s">
        <v>1244</v>
      </c>
      <c r="B37" s="1" t="str">
        <f>HYPERLINK("http://www.ncbi.nlm.nih.gov/pubmed/?term=H2-Oa", "H2-Oa")</f>
        <v>H2-Oa</v>
      </c>
      <c r="C37" s="4">
        <v>5.2809999999999997</v>
      </c>
      <c r="D37" s="4">
        <v>5.2389999999999999</v>
      </c>
      <c r="E37" s="5">
        <v>8.2189999999999994</v>
      </c>
    </row>
    <row r="38" spans="1:5" x14ac:dyDescent="0.25">
      <c r="A38" t="s">
        <v>1108</v>
      </c>
      <c r="B38" s="1" t="str">
        <f>HYPERLINK("http://www.ncbi.nlm.nih.gov/pubmed/?term=Nos2", "Nos2")</f>
        <v>Nos2</v>
      </c>
      <c r="C38" s="12">
        <v>-1.2470000000000001</v>
      </c>
      <c r="D38" s="3">
        <v>2.052</v>
      </c>
      <c r="E38" s="15">
        <v>7.4489999999999998</v>
      </c>
    </row>
    <row r="39" spans="1:5" x14ac:dyDescent="0.25">
      <c r="A39" t="s">
        <v>1404</v>
      </c>
      <c r="B39" s="1" t="str">
        <f>HYPERLINK("http://www.ncbi.nlm.nih.gov/pubmed/?term=Cd82", "Cd82")</f>
        <v>Cd82</v>
      </c>
      <c r="C39" s="13">
        <v>6.3259999999999996</v>
      </c>
      <c r="D39" s="15">
        <v>7.6559999999999997</v>
      </c>
      <c r="E39" s="5">
        <v>8.7360000000000007</v>
      </c>
    </row>
    <row r="40" spans="1:5" x14ac:dyDescent="0.25">
      <c r="A40" t="s">
        <v>6</v>
      </c>
      <c r="B40" s="1" t="str">
        <f>HYPERLINK("http://www.ncbi.nlm.nih.gov/pubmed/?term=Icam1", "Icam1")</f>
        <v>Icam1</v>
      </c>
      <c r="C40" s="15">
        <v>7.0970000000000004</v>
      </c>
      <c r="D40" s="13">
        <v>6.6790000000000003</v>
      </c>
      <c r="E40" s="5">
        <v>8.57</v>
      </c>
    </row>
    <row r="41" spans="1:5" x14ac:dyDescent="0.25">
      <c r="A41" t="s">
        <v>200</v>
      </c>
      <c r="B41" s="1" t="str">
        <f>HYPERLINK("http://www.ncbi.nlm.nih.gov/pubmed/?term=Prnp", "Prnp")</f>
        <v>Prnp</v>
      </c>
      <c r="C41" s="13">
        <v>6.1950000000000003</v>
      </c>
      <c r="D41" s="13">
        <v>6.7649999999999997</v>
      </c>
      <c r="E41" s="5">
        <v>8.4090000000000007</v>
      </c>
    </row>
    <row r="42" spans="1:5" x14ac:dyDescent="0.25">
      <c r="A42" t="s">
        <v>571</v>
      </c>
      <c r="B42" s="1" t="str">
        <f>HYPERLINK("http://www.ncbi.nlm.nih.gov/pubmed/?term=Mt1", "Mt1")</f>
        <v>Mt1</v>
      </c>
      <c r="C42" s="4">
        <v>5.3369999999999997</v>
      </c>
      <c r="D42" s="4">
        <v>5.8819999999999997</v>
      </c>
      <c r="E42" s="5">
        <v>8.1910000000000007</v>
      </c>
    </row>
    <row r="43" spans="1:5" x14ac:dyDescent="0.25">
      <c r="A43" t="s">
        <v>682</v>
      </c>
      <c r="B43" s="1" t="str">
        <f>HYPERLINK("http://www.ncbi.nlm.nih.gov/pubmed/?term=Lad1", "Lad1")</f>
        <v>Lad1</v>
      </c>
      <c r="C43" s="22">
        <v>3.3039999999999998</v>
      </c>
      <c r="D43" s="20">
        <v>4.3280000000000003</v>
      </c>
      <c r="E43" s="15">
        <v>7.8209999999999997</v>
      </c>
    </row>
    <row r="44" spans="1:5" x14ac:dyDescent="0.25">
      <c r="A44" t="s">
        <v>1488</v>
      </c>
      <c r="B44" s="1" t="str">
        <f>HYPERLINK("http://www.ncbi.nlm.nih.gov/pubmed/?term=Skint2", "Skint2")</f>
        <v>Skint2</v>
      </c>
      <c r="C44" s="12">
        <v>-0.77470000000000006</v>
      </c>
      <c r="D44" s="4">
        <v>5.7460000000000004</v>
      </c>
      <c r="E44" s="5">
        <v>8.1419999999999995</v>
      </c>
    </row>
    <row r="45" spans="1:5" x14ac:dyDescent="0.25">
      <c r="A45" t="s">
        <v>1682</v>
      </c>
      <c r="B45" s="1" t="str">
        <f>HYPERLINK("http://www.ncbi.nlm.nih.gov/pubmed/?term=Irf8", "Irf8")</f>
        <v>Irf8</v>
      </c>
      <c r="C45" s="13">
        <v>6.9569999999999999</v>
      </c>
      <c r="D45" s="20">
        <v>4.9889999999999999</v>
      </c>
      <c r="E45" s="5">
        <v>8.3989999999999991</v>
      </c>
    </row>
    <row r="46" spans="1:5" x14ac:dyDescent="0.25">
      <c r="A46" t="s">
        <v>1142</v>
      </c>
      <c r="B46" s="1" t="str">
        <f>HYPERLINK("http://www.ncbi.nlm.nih.gov/pubmed/?term=Npc2", "Npc2")</f>
        <v>Npc2</v>
      </c>
      <c r="C46" s="4">
        <v>5.4779999999999998</v>
      </c>
      <c r="D46" s="13">
        <v>6.3639999999999999</v>
      </c>
      <c r="E46" s="5">
        <v>8.2370000000000001</v>
      </c>
    </row>
    <row r="47" spans="1:5" x14ac:dyDescent="0.25">
      <c r="A47" t="s">
        <v>1412</v>
      </c>
      <c r="B47" s="1" t="str">
        <f>HYPERLINK("http://www.ncbi.nlm.nih.gov/pubmed/?term=Syngr2", "Syngr2")</f>
        <v>Syngr2</v>
      </c>
      <c r="C47" s="4">
        <v>5.2050000000000001</v>
      </c>
      <c r="D47" s="13">
        <v>6.8769999999999998</v>
      </c>
      <c r="E47" s="5">
        <v>8.3450000000000006</v>
      </c>
    </row>
    <row r="48" spans="1:5" x14ac:dyDescent="0.25">
      <c r="A48" t="s">
        <v>1369</v>
      </c>
      <c r="B48" s="1" t="str">
        <f>HYPERLINK("http://www.ncbi.nlm.nih.gov/pubmed/?term=Lcp1", "Lcp1")</f>
        <v>Lcp1</v>
      </c>
      <c r="C48" s="22">
        <v>3.9790000000000001</v>
      </c>
      <c r="D48" s="13">
        <v>6.6639999999999997</v>
      </c>
      <c r="E48" s="5">
        <v>8.2620000000000005</v>
      </c>
    </row>
    <row r="49" spans="1:5" x14ac:dyDescent="0.25">
      <c r="A49" t="s">
        <v>1907</v>
      </c>
      <c r="B49" s="1" t="str">
        <f>HYPERLINK("http://www.ncbi.nlm.nih.gov/pubmed/?term=Ahcyl2", "Ahcyl2")</f>
        <v>Ahcyl2</v>
      </c>
      <c r="C49" s="22">
        <v>3.7930000000000001</v>
      </c>
      <c r="D49" s="13">
        <v>6.0819999999999999</v>
      </c>
      <c r="E49" s="5">
        <v>8.11</v>
      </c>
    </row>
    <row r="50" spans="1:5" x14ac:dyDescent="0.25">
      <c r="A50" t="s">
        <v>320</v>
      </c>
      <c r="B50" s="1" t="str">
        <f>HYPERLINK("http://www.ncbi.nlm.nih.gov/pubmed/?term=Il4i1", "Il4i1")</f>
        <v>Il4i1</v>
      </c>
      <c r="C50" s="11">
        <v>1.254</v>
      </c>
      <c r="D50" s="13">
        <v>6.3419999999999996</v>
      </c>
      <c r="E50" s="5">
        <v>8.1620000000000008</v>
      </c>
    </row>
    <row r="51" spans="1:5" x14ac:dyDescent="0.25">
      <c r="A51" t="s">
        <v>1846</v>
      </c>
      <c r="B51" s="1" t="str">
        <f>HYPERLINK("http://www.ncbi.nlm.nih.gov/pubmed/?term=H2-DMb2", "H2-DMb2")</f>
        <v>H2-DMb2</v>
      </c>
      <c r="C51" s="4">
        <v>5.9130000000000003</v>
      </c>
      <c r="D51" s="4">
        <v>5.9269999999999996</v>
      </c>
      <c r="E51" s="5">
        <v>8.0259999999999998</v>
      </c>
    </row>
    <row r="52" spans="1:5" x14ac:dyDescent="0.25">
      <c r="A52" t="s">
        <v>132</v>
      </c>
      <c r="B52" s="1" t="str">
        <f>HYPERLINK("http://www.ncbi.nlm.nih.gov/pubmed/?term=Ctsz", "Ctsz")</f>
        <v>Ctsz</v>
      </c>
      <c r="C52" s="3">
        <v>2.5830000000000002</v>
      </c>
      <c r="D52" s="4">
        <v>5.5839999999999996</v>
      </c>
      <c r="E52" s="15">
        <v>7.9420000000000002</v>
      </c>
    </row>
    <row r="53" spans="1:5" x14ac:dyDescent="0.25">
      <c r="A53" t="s">
        <v>2013</v>
      </c>
      <c r="B53" s="1" t="str">
        <f>HYPERLINK("http://www.ncbi.nlm.nih.gov/pubmed/?term=Il2rg", "Il2rg")</f>
        <v>Il2rg</v>
      </c>
      <c r="C53" s="3">
        <v>2.806</v>
      </c>
      <c r="D53" s="22">
        <v>3.2530000000000001</v>
      </c>
      <c r="E53" s="15">
        <v>7.3730000000000002</v>
      </c>
    </row>
    <row r="54" spans="1:5" x14ac:dyDescent="0.25">
      <c r="A54" t="s">
        <v>666</v>
      </c>
      <c r="B54" s="1" t="str">
        <f>HYPERLINK("http://www.ncbi.nlm.nih.gov/pubmed/?term=Nsmce1", "Nsmce1")</f>
        <v>Nsmce1</v>
      </c>
      <c r="C54" s="4">
        <v>5.2329999999999997</v>
      </c>
      <c r="D54" s="20">
        <v>4.8479999999999999</v>
      </c>
      <c r="E54" s="15">
        <v>7.8289999999999997</v>
      </c>
    </row>
    <row r="55" spans="1:5" x14ac:dyDescent="0.25">
      <c r="A55" t="s">
        <v>94</v>
      </c>
      <c r="B55" s="1" t="str">
        <f>HYPERLINK("http://www.ncbi.nlm.nih.gov/pubmed/?term=Msn", "Msn")</f>
        <v>Msn</v>
      </c>
      <c r="C55" s="22">
        <v>3.8929999999999998</v>
      </c>
      <c r="D55" s="13">
        <v>6.1340000000000003</v>
      </c>
      <c r="E55" s="5">
        <v>8.032</v>
      </c>
    </row>
    <row r="56" spans="1:5" x14ac:dyDescent="0.25">
      <c r="A56" t="s">
        <v>1092</v>
      </c>
      <c r="B56" s="1" t="str">
        <f>HYPERLINK("http://www.ncbi.nlm.nih.gov/pubmed/?term=Cdx1", "Cdx1")</f>
        <v>Cdx1</v>
      </c>
      <c r="C56" s="12">
        <v>-1.206</v>
      </c>
      <c r="D56" s="20">
        <v>4.2510000000000003</v>
      </c>
      <c r="E56" s="15">
        <v>7.577</v>
      </c>
    </row>
    <row r="57" spans="1:5" x14ac:dyDescent="0.25">
      <c r="A57" t="s">
        <v>2049</v>
      </c>
      <c r="B57" s="1" t="str">
        <f>HYPERLINK("http://www.ncbi.nlm.nih.gov/pubmed/?term=Ank", "Ank")</f>
        <v>Ank</v>
      </c>
      <c r="C57" s="12">
        <v>-0.90859999999999996</v>
      </c>
      <c r="D57" s="4">
        <v>5.4749999999999996</v>
      </c>
      <c r="E57" s="15">
        <v>7.8360000000000003</v>
      </c>
    </row>
    <row r="58" spans="1:5" x14ac:dyDescent="0.25">
      <c r="A58" t="s">
        <v>556</v>
      </c>
      <c r="B58" s="1" t="str">
        <f>HYPERLINK("http://www.ncbi.nlm.nih.gov/pubmed/?term=Ftl1", "Ftl1")</f>
        <v>Ftl1</v>
      </c>
      <c r="C58" s="13">
        <v>6.6079999999999997</v>
      </c>
      <c r="D58" s="13">
        <v>6.2140000000000004</v>
      </c>
      <c r="E58" s="5">
        <v>8.09</v>
      </c>
    </row>
    <row r="59" spans="1:5" x14ac:dyDescent="0.25">
      <c r="A59" t="s">
        <v>1055</v>
      </c>
      <c r="B59" s="1" t="str">
        <f>HYPERLINK("http://www.ncbi.nlm.nih.gov/pubmed/?term=Sephs2", "Sephs2")</f>
        <v>Sephs2</v>
      </c>
      <c r="C59" s="22">
        <v>3.4689999999999999</v>
      </c>
      <c r="D59" s="20">
        <v>4.5389999999999997</v>
      </c>
      <c r="E59" s="15">
        <v>7.61</v>
      </c>
    </row>
    <row r="60" spans="1:5" x14ac:dyDescent="0.25">
      <c r="A60" t="s">
        <v>1259</v>
      </c>
      <c r="B60" s="1" t="str">
        <f>HYPERLINK("http://www.ncbi.nlm.nih.gov/pubmed/?term=Vmo1", "Vmo1")</f>
        <v>Vmo1</v>
      </c>
      <c r="C60" s="12">
        <v>-1.3680000000000001</v>
      </c>
      <c r="D60" s="11">
        <v>1.536</v>
      </c>
      <c r="E60" s="13">
        <v>6.8979999999999997</v>
      </c>
    </row>
    <row r="61" spans="1:5" x14ac:dyDescent="0.25">
      <c r="A61" t="s">
        <v>594</v>
      </c>
      <c r="B61" s="1" t="str">
        <f>HYPERLINK("http://www.ncbi.nlm.nih.gov/pubmed/?term=Tnip1", "Tnip1")</f>
        <v>Tnip1</v>
      </c>
      <c r="C61" s="4">
        <v>5.6390000000000002</v>
      </c>
      <c r="D61" s="13">
        <v>6.1980000000000004</v>
      </c>
      <c r="E61" s="15">
        <v>7.97</v>
      </c>
    </row>
    <row r="62" spans="1:5" x14ac:dyDescent="0.25">
      <c r="A62" t="s">
        <v>569</v>
      </c>
      <c r="B62" s="1" t="str">
        <f>HYPERLINK("http://www.ncbi.nlm.nih.gov/pubmed/?term=Mt2", "Mt2")</f>
        <v>Mt2</v>
      </c>
      <c r="C62" s="4">
        <v>5.1550000000000002</v>
      </c>
      <c r="D62" s="13">
        <v>6.2960000000000003</v>
      </c>
      <c r="E62" s="15">
        <v>7.9770000000000003</v>
      </c>
    </row>
    <row r="63" spans="1:5" x14ac:dyDescent="0.25">
      <c r="A63" t="s">
        <v>1919</v>
      </c>
      <c r="B63" s="1" t="str">
        <f>HYPERLINK("http://www.ncbi.nlm.nih.gov/pubmed/?term=Lyz2", "Lyz2")</f>
        <v>Lyz2</v>
      </c>
      <c r="C63" s="12">
        <v>0.34389999999999998</v>
      </c>
      <c r="D63" s="20">
        <v>4.1280000000000001</v>
      </c>
      <c r="E63" s="15">
        <v>7.4729999999999999</v>
      </c>
    </row>
    <row r="64" spans="1:5" x14ac:dyDescent="0.25">
      <c r="A64" t="s">
        <v>1899</v>
      </c>
      <c r="B64" s="1" t="str">
        <f>HYPERLINK("http://www.ncbi.nlm.nih.gov/pubmed/?term=Sspo", "Sspo")</f>
        <v>Sspo</v>
      </c>
      <c r="C64" s="12">
        <v>-1.052</v>
      </c>
      <c r="D64" s="22">
        <v>3.5019999999999998</v>
      </c>
      <c r="E64" s="15">
        <v>7.3129999999999997</v>
      </c>
    </row>
    <row r="65" spans="1:5" x14ac:dyDescent="0.25">
      <c r="A65" t="s">
        <v>1764</v>
      </c>
      <c r="B65" s="1" t="str">
        <f>HYPERLINK("http://www.ncbi.nlm.nih.gov/pubmed/?term=Nfkb2", "Nfkb2")</f>
        <v>Nfkb2</v>
      </c>
      <c r="C65" s="13">
        <v>6.2190000000000003</v>
      </c>
      <c r="D65" s="13">
        <v>6.3710000000000004</v>
      </c>
      <c r="E65" s="15">
        <v>7.9530000000000003</v>
      </c>
    </row>
    <row r="66" spans="1:5" x14ac:dyDescent="0.25">
      <c r="A66" t="s">
        <v>460</v>
      </c>
      <c r="B66" s="1" t="str">
        <f>HYPERLINK("http://www.ncbi.nlm.nih.gov/pubmed/?term=Bspry", "Bspry")</f>
        <v>Bspry</v>
      </c>
      <c r="C66" s="22">
        <v>3.0009999999999999</v>
      </c>
      <c r="D66" s="4">
        <v>5.2249999999999996</v>
      </c>
      <c r="E66" s="15">
        <v>7.6760000000000002</v>
      </c>
    </row>
    <row r="67" spans="1:5" x14ac:dyDescent="0.25">
      <c r="A67" t="s">
        <v>80</v>
      </c>
      <c r="B67" s="1" t="str">
        <f>HYPERLINK("http://www.ncbi.nlm.nih.gov/pubmed/?term=Cib1", "Cib1")</f>
        <v>Cib1</v>
      </c>
      <c r="C67" s="4">
        <v>5.9880000000000004</v>
      </c>
      <c r="D67" s="15">
        <v>7.016</v>
      </c>
      <c r="E67" s="5">
        <v>8.0540000000000003</v>
      </c>
    </row>
    <row r="68" spans="1:5" x14ac:dyDescent="0.25">
      <c r="A68" t="s">
        <v>240</v>
      </c>
      <c r="B68" s="1" t="str">
        <f>HYPERLINK("http://www.ncbi.nlm.nih.gov/pubmed/?term=Ctss", "Ctss")</f>
        <v>Ctss</v>
      </c>
      <c r="C68" s="11">
        <v>1.6619999999999999</v>
      </c>
      <c r="D68" s="4">
        <v>5.0519999999999996</v>
      </c>
      <c r="E68" s="15">
        <v>7.556</v>
      </c>
    </row>
    <row r="69" spans="1:5" x14ac:dyDescent="0.25">
      <c r="A69" t="s">
        <v>1009</v>
      </c>
      <c r="B69" s="1" t="str">
        <f>HYPERLINK("http://www.ncbi.nlm.nih.gov/pubmed/?term=Sh3bgrl3", "Sh3bgrl3")</f>
        <v>Sh3bgrl3</v>
      </c>
      <c r="C69" s="4">
        <v>5.9779999999999998</v>
      </c>
      <c r="D69" s="13">
        <v>6.3209999999999997</v>
      </c>
      <c r="E69" s="15">
        <v>7.8470000000000004</v>
      </c>
    </row>
    <row r="70" spans="1:5" x14ac:dyDescent="0.25">
      <c r="A70" t="s">
        <v>1603</v>
      </c>
      <c r="B70" s="1" t="str">
        <f>HYPERLINK("http://www.ncbi.nlm.nih.gov/pubmed/?term=Rogdi", "Rogdi")</f>
        <v>Rogdi</v>
      </c>
      <c r="C70" s="3">
        <v>2.835</v>
      </c>
      <c r="D70" s="20">
        <v>4.3550000000000004</v>
      </c>
      <c r="E70" s="15">
        <v>7.3920000000000003</v>
      </c>
    </row>
    <row r="71" spans="1:5" x14ac:dyDescent="0.25">
      <c r="A71" t="s">
        <v>741</v>
      </c>
      <c r="B71" s="1" t="str">
        <f>HYPERLINK("http://www.ncbi.nlm.nih.gov/pubmed/?term=2210415F13Rik", "2210415F13Rik")</f>
        <v>2210415F13Rik</v>
      </c>
      <c r="C71" s="12">
        <v>-0.96830000000000005</v>
      </c>
      <c r="D71" s="20">
        <v>4.2229999999999999</v>
      </c>
      <c r="E71" s="15">
        <v>7.3470000000000004</v>
      </c>
    </row>
    <row r="72" spans="1:5" x14ac:dyDescent="0.25">
      <c r="A72" t="s">
        <v>1261</v>
      </c>
      <c r="B72" s="1" t="str">
        <f>HYPERLINK("http://www.ncbi.nlm.nih.gov/pubmed/?term=Pkdcc", "Pkdcc")</f>
        <v>Pkdcc</v>
      </c>
      <c r="C72" s="4">
        <v>5.5670000000000002</v>
      </c>
      <c r="D72" s="13">
        <v>6.0049999999999999</v>
      </c>
      <c r="E72" s="15">
        <v>7.7590000000000003</v>
      </c>
    </row>
    <row r="73" spans="1:5" x14ac:dyDescent="0.25">
      <c r="A73" t="s">
        <v>1054</v>
      </c>
      <c r="B73" s="1" t="str">
        <f>HYPERLINK("http://www.ncbi.nlm.nih.gov/pubmed/?term=Insm1", "Insm1")</f>
        <v>Insm1</v>
      </c>
      <c r="C73" s="12">
        <v>-1.946</v>
      </c>
      <c r="D73" s="22">
        <v>3.79</v>
      </c>
      <c r="E73" s="15">
        <v>7.2460000000000004</v>
      </c>
    </row>
    <row r="74" spans="1:5" x14ac:dyDescent="0.25">
      <c r="A74" t="s">
        <v>1167</v>
      </c>
      <c r="B74" s="1" t="str">
        <f>HYPERLINK("http://www.ncbi.nlm.nih.gov/pubmed/?term=Il1rn", "Il1rn")</f>
        <v>Il1rn</v>
      </c>
      <c r="C74" s="12">
        <v>-0.53700000000000003</v>
      </c>
      <c r="D74" s="20">
        <v>4.7439999999999998</v>
      </c>
      <c r="E74" s="15">
        <v>7.4669999999999996</v>
      </c>
    </row>
    <row r="75" spans="1:5" x14ac:dyDescent="0.25">
      <c r="A75" t="s">
        <v>1724</v>
      </c>
      <c r="B75" s="1" t="str">
        <f>HYPERLINK("http://www.ncbi.nlm.nih.gov/pubmed/?term=Actn3", "Actn3")</f>
        <v>Actn3</v>
      </c>
      <c r="C75" s="13">
        <v>6.0519999999999996</v>
      </c>
      <c r="D75" s="4">
        <v>5.57</v>
      </c>
      <c r="E75" s="15">
        <v>7.7460000000000004</v>
      </c>
    </row>
    <row r="76" spans="1:5" x14ac:dyDescent="0.25">
      <c r="A76" t="s">
        <v>939</v>
      </c>
      <c r="B76" s="1" t="str">
        <f>HYPERLINK("http://www.ncbi.nlm.nih.gov/pubmed/?term=Ehd1", "Ehd1")</f>
        <v>Ehd1</v>
      </c>
      <c r="C76" s="20">
        <v>4.6769999999999996</v>
      </c>
      <c r="D76" s="20">
        <v>4.9870000000000001</v>
      </c>
      <c r="E76" s="15">
        <v>7.4969999999999999</v>
      </c>
    </row>
    <row r="77" spans="1:5" x14ac:dyDescent="0.25">
      <c r="A77" t="s">
        <v>596</v>
      </c>
      <c r="B77" s="1" t="str">
        <f>HYPERLINK("http://www.ncbi.nlm.nih.gov/pubmed/?term=Skint1", "Skint1")</f>
        <v>Skint1</v>
      </c>
      <c r="C77" s="12">
        <v>0.88400000000000001</v>
      </c>
      <c r="D77" s="13">
        <v>6.2690000000000001</v>
      </c>
      <c r="E77" s="15">
        <v>7.7930000000000001</v>
      </c>
    </row>
    <row r="78" spans="1:5" x14ac:dyDescent="0.25">
      <c r="A78" t="s">
        <v>1629</v>
      </c>
      <c r="B78" s="1" t="str">
        <f>HYPERLINK("http://www.ncbi.nlm.nih.gov/pubmed/?term=Arsb", "Arsb")</f>
        <v>Arsb</v>
      </c>
      <c r="C78" s="22">
        <v>3.3929999999999998</v>
      </c>
      <c r="D78" s="20">
        <v>4.2190000000000003</v>
      </c>
      <c r="E78" s="15">
        <v>7.3019999999999996</v>
      </c>
    </row>
    <row r="79" spans="1:5" x14ac:dyDescent="0.25">
      <c r="A79" t="s">
        <v>1015</v>
      </c>
      <c r="B79" s="1" t="str">
        <f>HYPERLINK("http://www.ncbi.nlm.nih.gov/pubmed/?term=S100a4", "S100a4")</f>
        <v>S100a4</v>
      </c>
      <c r="C79" s="3">
        <v>2.2549999999999999</v>
      </c>
      <c r="D79" s="22">
        <v>3.0939999999999999</v>
      </c>
      <c r="E79" s="15">
        <v>7.0359999999999996</v>
      </c>
    </row>
    <row r="80" spans="1:5" x14ac:dyDescent="0.25">
      <c r="A80" t="s">
        <v>1772</v>
      </c>
      <c r="B80" s="1" t="str">
        <f>HYPERLINK("http://www.ncbi.nlm.nih.gov/pubmed/?term=Snx8", "Snx8")</f>
        <v>Snx8</v>
      </c>
      <c r="C80" s="11">
        <v>1.595</v>
      </c>
      <c r="D80" s="22">
        <v>3.476</v>
      </c>
      <c r="E80" s="15">
        <v>7.1150000000000002</v>
      </c>
    </row>
    <row r="81" spans="1:5" x14ac:dyDescent="0.25">
      <c r="A81" t="s">
        <v>481</v>
      </c>
      <c r="B81" s="1" t="str">
        <f>HYPERLINK("http://www.ncbi.nlm.nih.gov/pubmed/?term=Phgdh", "Phgdh")</f>
        <v>Phgdh</v>
      </c>
      <c r="C81" s="13">
        <v>6.806</v>
      </c>
      <c r="D81" s="4">
        <v>5.6059999999999999</v>
      </c>
      <c r="E81" s="15">
        <v>7.8689999999999998</v>
      </c>
    </row>
    <row r="82" spans="1:5" x14ac:dyDescent="0.25">
      <c r="A82" t="s">
        <v>698</v>
      </c>
      <c r="B82" s="1" t="str">
        <f>HYPERLINK("http://www.ncbi.nlm.nih.gov/pubmed/?term=Mosc1", "Mosc1")</f>
        <v>Mosc1</v>
      </c>
      <c r="C82" s="12">
        <v>-2.077</v>
      </c>
      <c r="D82" s="11">
        <v>1.1779999999999999</v>
      </c>
      <c r="E82" s="13">
        <v>6.5570000000000004</v>
      </c>
    </row>
    <row r="83" spans="1:5" x14ac:dyDescent="0.25">
      <c r="A83" t="s">
        <v>940</v>
      </c>
      <c r="B83" s="1" t="str">
        <f>HYPERLINK("http://www.ncbi.nlm.nih.gov/pubmed/?term=Spock3", "Spock3")</f>
        <v>Spock3</v>
      </c>
      <c r="C83" s="12">
        <v>0.80889999999999995</v>
      </c>
      <c r="D83" s="22">
        <v>3.1949999999999998</v>
      </c>
      <c r="E83" s="15">
        <v>7.0119999999999996</v>
      </c>
    </row>
    <row r="84" spans="1:5" x14ac:dyDescent="0.25">
      <c r="A84" t="s">
        <v>1204</v>
      </c>
      <c r="B84" s="1" t="str">
        <f>HYPERLINK("http://www.ncbi.nlm.nih.gov/pubmed/?term=Grap", "Grap")</f>
        <v>Grap</v>
      </c>
      <c r="C84" s="11">
        <v>1.0840000000000001</v>
      </c>
      <c r="D84" s="3">
        <v>2.254</v>
      </c>
      <c r="E84" s="13">
        <v>6.7839999999999998</v>
      </c>
    </row>
    <row r="85" spans="1:5" x14ac:dyDescent="0.25">
      <c r="A85" t="s">
        <v>1429</v>
      </c>
      <c r="B85" s="1" t="str">
        <f>HYPERLINK("http://www.ncbi.nlm.nih.gov/pubmed/?term=Prg2", "Prg2")</f>
        <v>Prg2</v>
      </c>
      <c r="C85" s="12">
        <v>-1.64</v>
      </c>
      <c r="D85" s="3">
        <v>2.468</v>
      </c>
      <c r="E85" s="13">
        <v>6.8109999999999999</v>
      </c>
    </row>
    <row r="86" spans="1:5" x14ac:dyDescent="0.25">
      <c r="A86" t="s">
        <v>546</v>
      </c>
      <c r="B86" s="1" t="str">
        <f>HYPERLINK("http://www.ncbi.nlm.nih.gov/pubmed/?term=Utf1", "Utf1")</f>
        <v>Utf1</v>
      </c>
      <c r="C86" s="12">
        <v>5.0619999999999998E-2</v>
      </c>
      <c r="D86" s="22">
        <v>3.6190000000000002</v>
      </c>
      <c r="E86" s="15">
        <v>7.0730000000000004</v>
      </c>
    </row>
    <row r="87" spans="1:5" x14ac:dyDescent="0.25">
      <c r="A87" t="s">
        <v>1139</v>
      </c>
      <c r="B87" s="1" t="str">
        <f>HYPERLINK("http://www.ncbi.nlm.nih.gov/pubmed/?term=Aebp2", "Aebp2")</f>
        <v>Aebp2</v>
      </c>
      <c r="C87" s="13">
        <v>6.048</v>
      </c>
      <c r="D87" s="4">
        <v>5.0430000000000001</v>
      </c>
      <c r="E87" s="15">
        <v>7.62</v>
      </c>
    </row>
    <row r="88" spans="1:5" x14ac:dyDescent="0.25">
      <c r="A88" t="s">
        <v>1138</v>
      </c>
      <c r="B88" s="1" t="str">
        <f>HYPERLINK("http://www.ncbi.nlm.nih.gov/pubmed/?term=Ifi30", "Ifi30")</f>
        <v>Ifi30</v>
      </c>
      <c r="C88" s="13">
        <v>6.69</v>
      </c>
      <c r="D88" s="13">
        <v>6.0819999999999999</v>
      </c>
      <c r="E88" s="15">
        <v>7.7649999999999997</v>
      </c>
    </row>
    <row r="89" spans="1:5" x14ac:dyDescent="0.25">
      <c r="A89" t="s">
        <v>322</v>
      </c>
      <c r="B89" s="1" t="str">
        <f>HYPERLINK("http://www.ncbi.nlm.nih.gov/pubmed/?term=Fezf2", "Fezf2")</f>
        <v>Fezf2</v>
      </c>
      <c r="C89" s="12">
        <v>-0.89639999999999997</v>
      </c>
      <c r="D89" s="13">
        <v>6.1669999999999998</v>
      </c>
      <c r="E89" s="15">
        <v>7.6239999999999997</v>
      </c>
    </row>
    <row r="90" spans="1:5" x14ac:dyDescent="0.25">
      <c r="A90" t="s">
        <v>1324</v>
      </c>
      <c r="B90" s="1" t="str">
        <f>HYPERLINK("http://www.ncbi.nlm.nih.gov/pubmed/?term=Ptk2b", "Ptk2b")</f>
        <v>Ptk2b</v>
      </c>
      <c r="C90" s="12">
        <v>0.75729999999999997</v>
      </c>
      <c r="D90" s="20">
        <v>4.1239999999999997</v>
      </c>
      <c r="E90" s="15">
        <v>7.1379999999999999</v>
      </c>
    </row>
    <row r="91" spans="1:5" x14ac:dyDescent="0.25">
      <c r="A91" t="s">
        <v>1648</v>
      </c>
      <c r="B91" s="1" t="str">
        <f>HYPERLINK("http://www.ncbi.nlm.nih.gov/pubmed/?term=Cd40", "Cd40")</f>
        <v>Cd40</v>
      </c>
      <c r="C91" s="20">
        <v>4.8380000000000001</v>
      </c>
      <c r="D91" s="20">
        <v>4.8330000000000002</v>
      </c>
      <c r="E91" s="15">
        <v>7.3019999999999996</v>
      </c>
    </row>
    <row r="92" spans="1:5" x14ac:dyDescent="0.25">
      <c r="A92" t="s">
        <v>937</v>
      </c>
      <c r="B92" s="1" t="str">
        <f>HYPERLINK("http://www.ncbi.nlm.nih.gov/pubmed/?term=Trf", "Trf")</f>
        <v>Trf</v>
      </c>
      <c r="C92" s="12">
        <v>-1.907</v>
      </c>
      <c r="D92" s="11">
        <v>1.2869999999999999</v>
      </c>
      <c r="E92" s="13">
        <v>6.4770000000000003</v>
      </c>
    </row>
    <row r="93" spans="1:5" x14ac:dyDescent="0.25">
      <c r="A93" t="s">
        <v>112</v>
      </c>
      <c r="B93" s="1" t="str">
        <f>HYPERLINK("http://www.ncbi.nlm.nih.gov/pubmed/?term=Adam8", "Adam8")</f>
        <v>Adam8</v>
      </c>
      <c r="C93" s="12">
        <v>0.21099999999999999</v>
      </c>
      <c r="D93" s="4">
        <v>5.3019999999999996</v>
      </c>
      <c r="E93" s="15">
        <v>7.3970000000000002</v>
      </c>
    </row>
    <row r="94" spans="1:5" x14ac:dyDescent="0.25">
      <c r="A94" t="s">
        <v>570</v>
      </c>
      <c r="B94" s="1" t="str">
        <f>HYPERLINK("http://www.ncbi.nlm.nih.gov/pubmed/?term=Eaf2", "Eaf2")</f>
        <v>Eaf2</v>
      </c>
      <c r="C94" s="20">
        <v>4.49</v>
      </c>
      <c r="D94" s="20">
        <v>4.0430000000000001</v>
      </c>
      <c r="E94" s="15">
        <v>7.1920000000000002</v>
      </c>
    </row>
    <row r="95" spans="1:5" x14ac:dyDescent="0.25">
      <c r="A95" t="s">
        <v>383</v>
      </c>
      <c r="B95" s="1" t="str">
        <f>HYPERLINK("http://www.ncbi.nlm.nih.gov/pubmed/?term=Stat3", "Stat3")</f>
        <v>Stat3</v>
      </c>
      <c r="C95" s="4">
        <v>5.78</v>
      </c>
      <c r="D95" s="13">
        <v>6.601</v>
      </c>
      <c r="E95" s="15">
        <v>7.68</v>
      </c>
    </row>
    <row r="96" spans="1:5" x14ac:dyDescent="0.25">
      <c r="A96" t="s">
        <v>1322</v>
      </c>
      <c r="B96" s="1" t="str">
        <f>HYPERLINK("http://www.ncbi.nlm.nih.gov/pubmed/?term=Sgpp1", "Sgpp1")</f>
        <v>Sgpp1</v>
      </c>
      <c r="C96" s="4">
        <v>5.2690000000000001</v>
      </c>
      <c r="D96" s="13">
        <v>6.2679999999999998</v>
      </c>
      <c r="E96" s="15">
        <v>7.59</v>
      </c>
    </row>
    <row r="97" spans="1:5" x14ac:dyDescent="0.25">
      <c r="A97" t="s">
        <v>690</v>
      </c>
      <c r="B97" s="1" t="str">
        <f>HYPERLINK("http://www.ncbi.nlm.nih.gov/pubmed/?term=Creld2", "Creld2")</f>
        <v>Creld2</v>
      </c>
      <c r="C97" s="20">
        <v>4.6120000000000001</v>
      </c>
      <c r="D97" s="20">
        <v>4.4039999999999999</v>
      </c>
      <c r="E97" s="15">
        <v>7.2030000000000003</v>
      </c>
    </row>
    <row r="98" spans="1:5" x14ac:dyDescent="0.25">
      <c r="A98" t="s">
        <v>300</v>
      </c>
      <c r="B98" s="1" t="str">
        <f>HYPERLINK("http://www.ncbi.nlm.nih.gov/pubmed/?term=Grin2c", "Grin2c")</f>
        <v>Grin2c</v>
      </c>
      <c r="C98" s="12">
        <v>-0.69020000000000004</v>
      </c>
      <c r="D98" s="11">
        <v>1.2450000000000001</v>
      </c>
      <c r="E98" s="13">
        <v>6.4189999999999996</v>
      </c>
    </row>
    <row r="99" spans="1:5" x14ac:dyDescent="0.25">
      <c r="A99" t="s">
        <v>642</v>
      </c>
      <c r="B99" s="1" t="str">
        <f>HYPERLINK("http://www.ncbi.nlm.nih.gov/pubmed/?term=Relb", "Relb")</f>
        <v>Relb</v>
      </c>
      <c r="C99" s="4">
        <v>5.5129999999999999</v>
      </c>
      <c r="D99" s="4">
        <v>5.7859999999999996</v>
      </c>
      <c r="E99" s="15">
        <v>7.468</v>
      </c>
    </row>
    <row r="100" spans="1:5" x14ac:dyDescent="0.25">
      <c r="A100" t="s">
        <v>1260</v>
      </c>
      <c r="B100" s="1" t="str">
        <f>HYPERLINK("http://www.ncbi.nlm.nih.gov/pubmed/?term=N4bp2l1", "N4bp2l1")</f>
        <v>N4bp2l1</v>
      </c>
      <c r="C100" s="22">
        <v>3.3820000000000001</v>
      </c>
      <c r="D100" s="22">
        <v>3.47</v>
      </c>
      <c r="E100" s="13">
        <v>6.93</v>
      </c>
    </row>
    <row r="101" spans="1:5" x14ac:dyDescent="0.25">
      <c r="A101" t="s">
        <v>1947</v>
      </c>
      <c r="B101" s="1" t="str">
        <f>HYPERLINK("http://www.ncbi.nlm.nih.gov/pubmed/?term=Alas1", "Alas1")</f>
        <v>Alas1</v>
      </c>
      <c r="C101" s="4">
        <v>5.0229999999999997</v>
      </c>
      <c r="D101" s="20">
        <v>4.585</v>
      </c>
      <c r="E101" s="15">
        <v>7.29</v>
      </c>
    </row>
    <row r="102" spans="1:5" x14ac:dyDescent="0.25">
      <c r="A102" t="s">
        <v>114</v>
      </c>
      <c r="B102" s="1" t="str">
        <f>HYPERLINK("http://www.ncbi.nlm.nih.gov/pubmed/?term=Cldn4", "Cldn4")</f>
        <v>Cldn4</v>
      </c>
      <c r="C102" s="12">
        <v>0.80320000000000003</v>
      </c>
      <c r="D102" s="4">
        <v>5.2430000000000003</v>
      </c>
      <c r="E102" s="15">
        <v>7.34</v>
      </c>
    </row>
    <row r="103" spans="1:5" x14ac:dyDescent="0.25">
      <c r="A103" t="s">
        <v>436</v>
      </c>
      <c r="B103" s="1" t="str">
        <f>HYPERLINK("http://www.ncbi.nlm.nih.gov/pubmed/?term=Arg2", "Arg2")</f>
        <v>Arg2</v>
      </c>
      <c r="C103" s="12">
        <v>-6.1400000000000003E-2</v>
      </c>
      <c r="D103" s="11">
        <v>1.587</v>
      </c>
      <c r="E103" s="13">
        <v>6.4889999999999999</v>
      </c>
    </row>
    <row r="104" spans="1:5" x14ac:dyDescent="0.25">
      <c r="A104" t="s">
        <v>225</v>
      </c>
      <c r="B104" s="1" t="str">
        <f>HYPERLINK("http://www.ncbi.nlm.nih.gov/pubmed/?term=Il12a", "Il12a")</f>
        <v>Il12a</v>
      </c>
      <c r="C104" s="12">
        <v>-2.9940000000000002</v>
      </c>
      <c r="D104" s="12">
        <v>-4.1790000000000001E-2</v>
      </c>
      <c r="E104" s="13">
        <v>6.1180000000000003</v>
      </c>
    </row>
    <row r="105" spans="1:5" x14ac:dyDescent="0.25">
      <c r="A105" t="s">
        <v>1579</v>
      </c>
      <c r="B105" s="1" t="str">
        <f>HYPERLINK("http://www.ncbi.nlm.nih.gov/pubmed/?term=Snx29", "Snx29")</f>
        <v>Snx29</v>
      </c>
      <c r="C105" s="20">
        <v>4.07</v>
      </c>
      <c r="D105" s="22">
        <v>3.371</v>
      </c>
      <c r="E105" s="15">
        <v>7.0549999999999997</v>
      </c>
    </row>
    <row r="106" spans="1:5" x14ac:dyDescent="0.25">
      <c r="A106" t="s">
        <v>1747</v>
      </c>
      <c r="B106" s="1" t="str">
        <f>HYPERLINK("http://www.ncbi.nlm.nih.gov/pubmed/?term=Abp1", "Abp1")</f>
        <v>Abp1</v>
      </c>
      <c r="C106" s="12">
        <v>-1.891</v>
      </c>
      <c r="D106" s="22">
        <v>3.7509999999999999</v>
      </c>
      <c r="E106" s="13">
        <v>6.9809999999999999</v>
      </c>
    </row>
    <row r="107" spans="1:5" x14ac:dyDescent="0.25">
      <c r="A107" t="s">
        <v>1912</v>
      </c>
      <c r="B107" s="1" t="str">
        <f>HYPERLINK("http://www.ncbi.nlm.nih.gov/pubmed/?term=Dio1", "Dio1")</f>
        <v>Dio1</v>
      </c>
      <c r="C107" s="11">
        <v>1.948</v>
      </c>
      <c r="D107" s="4">
        <v>5.8579999999999997</v>
      </c>
      <c r="E107" s="15">
        <v>7.4669999999999996</v>
      </c>
    </row>
    <row r="108" spans="1:5" x14ac:dyDescent="0.25">
      <c r="A108" t="s">
        <v>1407</v>
      </c>
      <c r="B108" s="1" t="str">
        <f>HYPERLINK("http://www.ncbi.nlm.nih.gov/pubmed/?term=S100a6", "S100a6")</f>
        <v>S100a6</v>
      </c>
      <c r="C108" s="3">
        <v>2.2919999999999998</v>
      </c>
      <c r="D108" s="13">
        <v>6.4880000000000004</v>
      </c>
      <c r="E108" s="15">
        <v>7.609</v>
      </c>
    </row>
    <row r="109" spans="1:5" x14ac:dyDescent="0.25">
      <c r="A109" t="s">
        <v>247</v>
      </c>
      <c r="B109" s="1" t="str">
        <f>HYPERLINK("http://www.ncbi.nlm.nih.gov/pubmed/?term=Cnp", "Cnp")</f>
        <v>Cnp</v>
      </c>
      <c r="C109" s="22">
        <v>3.7610000000000001</v>
      </c>
      <c r="D109" s="20">
        <v>4.8049999999999997</v>
      </c>
      <c r="E109" s="15">
        <v>7.218</v>
      </c>
    </row>
    <row r="110" spans="1:5" x14ac:dyDescent="0.25">
      <c r="A110" t="s">
        <v>1826</v>
      </c>
      <c r="B110" s="1" t="str">
        <f>HYPERLINK("http://www.ncbi.nlm.nih.gov/pubmed/?term=Gas7", "Gas7")</f>
        <v>Gas7</v>
      </c>
      <c r="C110" s="22">
        <v>3.3769999999999998</v>
      </c>
      <c r="D110" s="20">
        <v>4.6779999999999999</v>
      </c>
      <c r="E110" s="15">
        <v>7.1870000000000003</v>
      </c>
    </row>
    <row r="111" spans="1:5" x14ac:dyDescent="0.25">
      <c r="A111" t="s">
        <v>1602</v>
      </c>
      <c r="B111" s="1" t="str">
        <f>HYPERLINK("http://www.ncbi.nlm.nih.gov/pubmed/?term=Ankrd33b", "Ankrd33b")</f>
        <v>Ankrd33b</v>
      </c>
      <c r="C111" s="22">
        <v>3.7010000000000001</v>
      </c>
      <c r="D111" s="22">
        <v>3.46</v>
      </c>
      <c r="E111" s="13">
        <v>6.94</v>
      </c>
    </row>
    <row r="112" spans="1:5" x14ac:dyDescent="0.25">
      <c r="A112" t="s">
        <v>1395</v>
      </c>
      <c r="B112" s="1" t="str">
        <f>HYPERLINK("http://www.ncbi.nlm.nih.gov/pubmed/?term=Uap1", "Uap1")</f>
        <v>Uap1</v>
      </c>
      <c r="C112" s="20">
        <v>4.4340000000000002</v>
      </c>
      <c r="D112" s="20">
        <v>4.3860000000000001</v>
      </c>
      <c r="E112" s="15">
        <v>7.1059999999999999</v>
      </c>
    </row>
    <row r="113" spans="1:5" x14ac:dyDescent="0.25">
      <c r="A113" t="s">
        <v>1393</v>
      </c>
      <c r="B113" s="1" t="str">
        <f>HYPERLINK("http://www.ncbi.nlm.nih.gov/pubmed/?term=H2-Ob", "H2-Ob")</f>
        <v>H2-Ob</v>
      </c>
      <c r="C113" s="12">
        <v>-0.41930000000000001</v>
      </c>
      <c r="D113" s="3">
        <v>2.2890000000000001</v>
      </c>
      <c r="E113" s="13">
        <v>6.6079999999999997</v>
      </c>
    </row>
    <row r="114" spans="1:5" x14ac:dyDescent="0.25">
      <c r="A114" t="s">
        <v>1228</v>
      </c>
      <c r="B114" s="1" t="str">
        <f>HYPERLINK("http://www.ncbi.nlm.nih.gov/pubmed/?term=Pla1a", "Pla1a")</f>
        <v>Pla1a</v>
      </c>
      <c r="C114" s="12">
        <v>-1.2130000000000001</v>
      </c>
      <c r="D114" s="12">
        <v>0.98950000000000005</v>
      </c>
      <c r="E114" s="13">
        <v>6.3010000000000002</v>
      </c>
    </row>
    <row r="115" spans="1:5" x14ac:dyDescent="0.25">
      <c r="A115" t="s">
        <v>1414</v>
      </c>
      <c r="B115" s="1" t="str">
        <f>HYPERLINK("http://www.ncbi.nlm.nih.gov/pubmed/?term=Tfdp1", "Tfdp1")</f>
        <v>Tfdp1</v>
      </c>
      <c r="C115" s="4">
        <v>5.7249999999999996</v>
      </c>
      <c r="D115" s="4">
        <v>5.1459999999999999</v>
      </c>
      <c r="E115" s="15">
        <v>7.3730000000000002</v>
      </c>
    </row>
    <row r="116" spans="1:5" x14ac:dyDescent="0.25">
      <c r="A116" t="s">
        <v>313</v>
      </c>
      <c r="B116" s="1" t="str">
        <f>HYPERLINK("http://www.ncbi.nlm.nih.gov/pubmed/?term=Birc3", "Birc3")</f>
        <v>Birc3</v>
      </c>
      <c r="C116" s="4">
        <v>5.5170000000000003</v>
      </c>
      <c r="D116" s="4">
        <v>5.56</v>
      </c>
      <c r="E116" s="15">
        <v>7.3120000000000003</v>
      </c>
    </row>
    <row r="117" spans="1:5" x14ac:dyDescent="0.25">
      <c r="A117" t="s">
        <v>1229</v>
      </c>
      <c r="B117" s="1" t="str">
        <f>HYPERLINK("http://www.ncbi.nlm.nih.gov/pubmed/?term=Manf", "Manf")</f>
        <v>Manf</v>
      </c>
      <c r="C117" s="4">
        <v>5.8129999999999997</v>
      </c>
      <c r="D117" s="4">
        <v>5.9269999999999996</v>
      </c>
      <c r="E117" s="15">
        <v>7.3920000000000003</v>
      </c>
    </row>
    <row r="118" spans="1:5" x14ac:dyDescent="0.25">
      <c r="A118" t="s">
        <v>255</v>
      </c>
      <c r="B118" s="1" t="str">
        <f>HYPERLINK("http://www.ncbi.nlm.nih.gov/pubmed/?term=Gjb2", "Gjb2")</f>
        <v>Gjb2</v>
      </c>
      <c r="C118" s="12">
        <v>-0.3407</v>
      </c>
      <c r="D118" s="20">
        <v>4.4630000000000001</v>
      </c>
      <c r="E118" s="15">
        <v>7.0490000000000004</v>
      </c>
    </row>
    <row r="119" spans="1:5" x14ac:dyDescent="0.25">
      <c r="A119" t="s">
        <v>1536</v>
      </c>
      <c r="B119" s="1" t="str">
        <f>HYPERLINK("http://www.ncbi.nlm.nih.gov/pubmed/?term=Pip5k1b", "Pip5k1b")</f>
        <v>Pip5k1b</v>
      </c>
      <c r="C119" s="12">
        <v>-4.9090000000000002E-2</v>
      </c>
      <c r="D119" s="22">
        <v>3.6469999999999998</v>
      </c>
      <c r="E119" s="13">
        <v>6.85</v>
      </c>
    </row>
    <row r="120" spans="1:5" x14ac:dyDescent="0.25">
      <c r="A120" t="s">
        <v>1187</v>
      </c>
      <c r="B120" s="1" t="str">
        <f>HYPERLINK("http://www.ncbi.nlm.nih.gov/pubmed/?term=Cox17", "Cox17")</f>
        <v>Cox17</v>
      </c>
      <c r="C120" s="4">
        <v>5.4390000000000001</v>
      </c>
      <c r="D120" s="4">
        <v>5.7560000000000002</v>
      </c>
      <c r="E120" s="15">
        <v>7.3369999999999997</v>
      </c>
    </row>
    <row r="121" spans="1:5" x14ac:dyDescent="0.25">
      <c r="A121" t="s">
        <v>751</v>
      </c>
      <c r="B121" s="1" t="str">
        <f>HYPERLINK("http://www.ncbi.nlm.nih.gov/pubmed/?term=Il23a", "Il23a")</f>
        <v>Il23a</v>
      </c>
      <c r="C121" s="12">
        <v>-1.085</v>
      </c>
      <c r="D121" s="22">
        <v>3.79</v>
      </c>
      <c r="E121" s="13">
        <v>6.8739999999999997</v>
      </c>
    </row>
    <row r="122" spans="1:5" x14ac:dyDescent="0.25">
      <c r="A122" t="s">
        <v>1300</v>
      </c>
      <c r="B122" s="1" t="str">
        <f>HYPERLINK("http://www.ncbi.nlm.nih.gov/pubmed/?term=Slc6a7", "Slc6a7")</f>
        <v>Slc6a7</v>
      </c>
      <c r="C122" s="12">
        <v>-2.5430000000000001</v>
      </c>
      <c r="D122" s="22">
        <v>3.8119999999999998</v>
      </c>
      <c r="E122" s="13">
        <v>6.8730000000000002</v>
      </c>
    </row>
    <row r="123" spans="1:5" x14ac:dyDescent="0.25">
      <c r="A123" t="s">
        <v>551</v>
      </c>
      <c r="B123" s="1" t="str">
        <f>HYPERLINK("http://www.ncbi.nlm.nih.gov/pubmed/?term=Clic4", "Clic4")</f>
        <v>Clic4</v>
      </c>
      <c r="C123" s="4">
        <v>5.0819999999999999</v>
      </c>
      <c r="D123" s="4">
        <v>5.79</v>
      </c>
      <c r="E123" s="15">
        <v>7.3250000000000002</v>
      </c>
    </row>
    <row r="124" spans="1:5" x14ac:dyDescent="0.25">
      <c r="A124" t="s">
        <v>1777</v>
      </c>
      <c r="B124" s="1" t="str">
        <f>HYPERLINK("http://www.ncbi.nlm.nih.gov/pubmed/?term=Nrg1", "Nrg1")</f>
        <v>Nrg1</v>
      </c>
      <c r="C124" s="12">
        <v>0.1411</v>
      </c>
      <c r="D124" s="11">
        <v>1.353</v>
      </c>
      <c r="E124" s="13">
        <v>6.2930000000000001</v>
      </c>
    </row>
    <row r="125" spans="1:5" x14ac:dyDescent="0.25">
      <c r="A125" t="s">
        <v>1532</v>
      </c>
      <c r="B125" s="1" t="str">
        <f>HYPERLINK("http://www.ncbi.nlm.nih.gov/pubmed/?term=Cd80", "Cd80")</f>
        <v>Cd80</v>
      </c>
      <c r="C125" s="12">
        <v>-0.96909999999999996</v>
      </c>
      <c r="D125" s="3">
        <v>2.597</v>
      </c>
      <c r="E125" s="13">
        <v>6.5759999999999996</v>
      </c>
    </row>
    <row r="126" spans="1:5" x14ac:dyDescent="0.25">
      <c r="A126" t="s">
        <v>1433</v>
      </c>
      <c r="B126" s="1" t="str">
        <f>HYPERLINK("http://www.ncbi.nlm.nih.gov/pubmed/?term=Hspb11", "Hspb11")</f>
        <v>Hspb11</v>
      </c>
      <c r="C126" s="20">
        <v>4.9509999999999996</v>
      </c>
      <c r="D126" s="20">
        <v>4.9050000000000002</v>
      </c>
      <c r="E126" s="15">
        <v>7.12</v>
      </c>
    </row>
    <row r="127" spans="1:5" x14ac:dyDescent="0.25">
      <c r="A127" t="s">
        <v>464</v>
      </c>
      <c r="B127" s="1" t="str">
        <f>HYPERLINK("http://www.ncbi.nlm.nih.gov/pubmed/?term=Parm1", "Parm1")</f>
        <v>Parm1</v>
      </c>
      <c r="C127" s="20">
        <v>4.8079999999999998</v>
      </c>
      <c r="D127" s="13">
        <v>6.3259999999999996</v>
      </c>
      <c r="E127" s="15">
        <v>7.4359999999999999</v>
      </c>
    </row>
    <row r="128" spans="1:5" x14ac:dyDescent="0.25">
      <c r="A128" t="s">
        <v>821</v>
      </c>
      <c r="B128" s="1" t="str">
        <f>HYPERLINK("http://www.ncbi.nlm.nih.gov/pubmed/?term=Synj2", "Synj2")</f>
        <v>Synj2</v>
      </c>
      <c r="C128" s="20">
        <v>4.6719999999999997</v>
      </c>
      <c r="D128" s="20">
        <v>4.3689999999999998</v>
      </c>
      <c r="E128" s="15">
        <v>7.0529999999999999</v>
      </c>
    </row>
    <row r="129" spans="1:5" x14ac:dyDescent="0.25">
      <c r="A129" t="s">
        <v>1349</v>
      </c>
      <c r="B129" s="1" t="str">
        <f>HYPERLINK("http://www.ncbi.nlm.nih.gov/pubmed/?term=Nptx2", "Nptx2")</f>
        <v>Nptx2</v>
      </c>
      <c r="C129" s="12">
        <v>-1.81</v>
      </c>
      <c r="D129" s="11">
        <v>1.1020000000000001</v>
      </c>
      <c r="E129" s="13">
        <v>6.2160000000000002</v>
      </c>
    </row>
    <row r="130" spans="1:5" x14ac:dyDescent="0.25">
      <c r="A130" t="s">
        <v>1277</v>
      </c>
      <c r="B130" s="1" t="str">
        <f>HYPERLINK("http://www.ncbi.nlm.nih.gov/pubmed/?term=Dusp4", "Dusp4")</f>
        <v>Dusp4</v>
      </c>
      <c r="C130" s="12">
        <v>0.14319999999999999</v>
      </c>
      <c r="D130" s="20">
        <v>4.9749999999999996</v>
      </c>
      <c r="E130" s="15">
        <v>7.1059999999999999</v>
      </c>
    </row>
    <row r="131" spans="1:5" x14ac:dyDescent="0.25">
      <c r="A131" t="s">
        <v>1784</v>
      </c>
      <c r="B131" s="1" t="str">
        <f>HYPERLINK("http://www.ncbi.nlm.nih.gov/pubmed/?term=Pacsin2", "Pacsin2")</f>
        <v>Pacsin2</v>
      </c>
      <c r="C131" s="13">
        <v>6.016</v>
      </c>
      <c r="D131" s="20">
        <v>4.8339999999999996</v>
      </c>
      <c r="E131" s="15">
        <v>7.3369999999999997</v>
      </c>
    </row>
    <row r="132" spans="1:5" x14ac:dyDescent="0.25">
      <c r="A132" t="s">
        <v>857</v>
      </c>
      <c r="B132" s="1" t="str">
        <f>HYPERLINK("http://www.ncbi.nlm.nih.gov/pubmed/?term=Olfm4", "Olfm4")</f>
        <v>Olfm4</v>
      </c>
      <c r="C132" s="22">
        <v>3.504</v>
      </c>
      <c r="D132" s="20">
        <v>4.3769999999999998</v>
      </c>
      <c r="E132" s="13">
        <v>6.9409999999999998</v>
      </c>
    </row>
    <row r="133" spans="1:5" x14ac:dyDescent="0.25">
      <c r="A133" t="s">
        <v>230</v>
      </c>
      <c r="B133" s="1" t="str">
        <f>HYPERLINK("http://www.ncbi.nlm.nih.gov/pubmed/?term=Rap1gap", "Rap1gap")</f>
        <v>Rap1gap</v>
      </c>
      <c r="C133" s="12">
        <v>0.6845</v>
      </c>
      <c r="D133" s="4">
        <v>5.1310000000000002</v>
      </c>
      <c r="E133" s="15">
        <v>7.1020000000000003</v>
      </c>
    </row>
    <row r="134" spans="1:5" x14ac:dyDescent="0.25">
      <c r="A134" t="s">
        <v>667</v>
      </c>
      <c r="B134" s="1" t="str">
        <f>HYPERLINK("http://www.ncbi.nlm.nih.gov/pubmed/?term=Pdlim4", "Pdlim4")</f>
        <v>Pdlim4</v>
      </c>
      <c r="C134" s="12">
        <v>-0.17510000000000001</v>
      </c>
      <c r="D134" s="13">
        <v>6.0460000000000003</v>
      </c>
      <c r="E134" s="15">
        <v>7.2990000000000004</v>
      </c>
    </row>
    <row r="135" spans="1:5" x14ac:dyDescent="0.25">
      <c r="A135" t="s">
        <v>544</v>
      </c>
      <c r="B135" s="1" t="str">
        <f>HYPERLINK("http://www.ncbi.nlm.nih.gov/pubmed/?term=Bax", "Bax")</f>
        <v>Bax</v>
      </c>
      <c r="C135" s="4">
        <v>5.3659999999999997</v>
      </c>
      <c r="D135" s="4">
        <v>5.4429999999999996</v>
      </c>
      <c r="E135" s="15">
        <v>7.1589999999999998</v>
      </c>
    </row>
    <row r="136" spans="1:5" x14ac:dyDescent="0.25">
      <c r="A136" t="s">
        <v>872</v>
      </c>
      <c r="B136" s="1" t="str">
        <f>HYPERLINK("http://www.ncbi.nlm.nih.gov/pubmed/?term=Gadd45b", "Gadd45b")</f>
        <v>Gadd45b</v>
      </c>
      <c r="C136" s="22">
        <v>3.778</v>
      </c>
      <c r="D136" s="4">
        <v>5.0129999999999999</v>
      </c>
      <c r="E136" s="15">
        <v>7.056</v>
      </c>
    </row>
    <row r="137" spans="1:5" x14ac:dyDescent="0.25">
      <c r="A137" t="s">
        <v>517</v>
      </c>
      <c r="B137" s="1" t="str">
        <f>HYPERLINK("http://www.ncbi.nlm.nih.gov/pubmed/?term=Atf5", "Atf5")</f>
        <v>Atf5</v>
      </c>
      <c r="C137" s="22">
        <v>3.6749999999999998</v>
      </c>
      <c r="D137" s="20">
        <v>4.8410000000000002</v>
      </c>
      <c r="E137" s="15">
        <v>7.008</v>
      </c>
    </row>
    <row r="138" spans="1:5" x14ac:dyDescent="0.25">
      <c r="A138" t="s">
        <v>358</v>
      </c>
      <c r="B138" s="1" t="str">
        <f>HYPERLINK("http://www.ncbi.nlm.nih.gov/pubmed/?term=Ndufc2", "Ndufc2")</f>
        <v>Ndufc2</v>
      </c>
      <c r="C138" s="4">
        <v>5.79</v>
      </c>
      <c r="D138" s="4">
        <v>5.6319999999999997</v>
      </c>
      <c r="E138" s="15">
        <v>7.2220000000000004</v>
      </c>
    </row>
    <row r="139" spans="1:5" x14ac:dyDescent="0.25">
      <c r="A139" t="s">
        <v>271</v>
      </c>
      <c r="B139" s="1" t="str">
        <f>HYPERLINK("http://www.ncbi.nlm.nih.gov/pubmed/?term=Sat1", "Sat1")</f>
        <v>Sat1</v>
      </c>
      <c r="C139" s="20">
        <v>4.0069999999999997</v>
      </c>
      <c r="D139" s="4">
        <v>5.0720000000000001</v>
      </c>
      <c r="E139" s="15">
        <v>7.0519999999999996</v>
      </c>
    </row>
    <row r="140" spans="1:5" x14ac:dyDescent="0.25">
      <c r="A140" t="s">
        <v>677</v>
      </c>
      <c r="B140" s="1" t="str">
        <f>HYPERLINK("http://www.ncbi.nlm.nih.gov/pubmed/?term=Cacna1b", "Cacna1b")</f>
        <v>Cacna1b</v>
      </c>
      <c r="C140" s="12">
        <v>-1.089</v>
      </c>
      <c r="D140" s="22">
        <v>3.5209999999999999</v>
      </c>
      <c r="E140" s="13">
        <v>6.6840000000000002</v>
      </c>
    </row>
    <row r="141" spans="1:5" x14ac:dyDescent="0.25">
      <c r="A141" t="s">
        <v>1066</v>
      </c>
      <c r="B141" s="1" t="str">
        <f>HYPERLINK("http://www.ncbi.nlm.nih.gov/pubmed/?term=Prokr2", "Prokr2")</f>
        <v>Prokr2</v>
      </c>
      <c r="C141" s="20">
        <v>4.891</v>
      </c>
      <c r="D141" s="11">
        <v>1.474</v>
      </c>
      <c r="E141" s="13">
        <v>6.9989999999999997</v>
      </c>
    </row>
    <row r="142" spans="1:5" x14ac:dyDescent="0.25">
      <c r="A142" t="s">
        <v>920</v>
      </c>
      <c r="B142" s="1" t="str">
        <f>HYPERLINK("http://www.ncbi.nlm.nih.gov/pubmed/?term=Fam105b", "Fam105b")</f>
        <v>Fam105b</v>
      </c>
      <c r="C142" s="22">
        <v>3.6930000000000001</v>
      </c>
      <c r="D142" s="4">
        <v>5.0389999999999997</v>
      </c>
      <c r="E142" s="15">
        <v>7.0289999999999999</v>
      </c>
    </row>
    <row r="143" spans="1:5" x14ac:dyDescent="0.25">
      <c r="A143" t="s">
        <v>674</v>
      </c>
      <c r="B143" s="1" t="str">
        <f>HYPERLINK("http://www.ncbi.nlm.nih.gov/pubmed/?term=Tbc1d4", "Tbc1d4")</f>
        <v>Tbc1d4</v>
      </c>
      <c r="C143" s="12">
        <v>0.11899999999999999</v>
      </c>
      <c r="D143" s="11">
        <v>1.7869999999999999</v>
      </c>
      <c r="E143" s="13">
        <v>6.2750000000000004</v>
      </c>
    </row>
    <row r="144" spans="1:5" x14ac:dyDescent="0.25">
      <c r="A144" t="s">
        <v>577</v>
      </c>
      <c r="B144" s="1" t="str">
        <f>HYPERLINK("http://www.ncbi.nlm.nih.gov/pubmed/?term=Surf4", "Surf4")</f>
        <v>Surf4</v>
      </c>
      <c r="C144" s="4">
        <v>5.8019999999999996</v>
      </c>
      <c r="D144" s="13">
        <v>6.0549999999999997</v>
      </c>
      <c r="E144" s="15">
        <v>7.2549999999999999</v>
      </c>
    </row>
    <row r="145" spans="1:5" x14ac:dyDescent="0.25">
      <c r="A145" t="s">
        <v>1384</v>
      </c>
      <c r="B145" s="1" t="str">
        <f>HYPERLINK("http://www.ncbi.nlm.nih.gov/pubmed/?term=Pld1", "Pld1")</f>
        <v>Pld1</v>
      </c>
      <c r="C145" s="22">
        <v>3.9710000000000001</v>
      </c>
      <c r="D145" s="20">
        <v>4.7439999999999998</v>
      </c>
      <c r="E145" s="13">
        <v>6.95</v>
      </c>
    </row>
    <row r="146" spans="1:5" x14ac:dyDescent="0.25">
      <c r="A146" t="s">
        <v>1831</v>
      </c>
      <c r="B146" s="1" t="str">
        <f>HYPERLINK("http://www.ncbi.nlm.nih.gov/pubmed/?term=Msi1", "Msi1")</f>
        <v>Msi1</v>
      </c>
      <c r="C146" s="3">
        <v>2.9239999999999999</v>
      </c>
      <c r="D146" s="3">
        <v>2.7280000000000002</v>
      </c>
      <c r="E146" s="13">
        <v>6.524</v>
      </c>
    </row>
    <row r="147" spans="1:5" x14ac:dyDescent="0.25">
      <c r="A147" t="s">
        <v>1249</v>
      </c>
      <c r="B147" s="1" t="str">
        <f>HYPERLINK("http://www.ncbi.nlm.nih.gov/pubmed/?term=Inf2", "Inf2")</f>
        <v>Inf2</v>
      </c>
      <c r="C147" s="3">
        <v>2.6150000000000002</v>
      </c>
      <c r="D147" s="22">
        <v>3.738</v>
      </c>
      <c r="E147" s="13">
        <v>6.7110000000000003</v>
      </c>
    </row>
    <row r="148" spans="1:5" x14ac:dyDescent="0.25">
      <c r="A148" t="s">
        <v>1554</v>
      </c>
      <c r="B148" s="1" t="str">
        <f>HYPERLINK("http://www.ncbi.nlm.nih.gov/pubmed/?term=Gnb4", "Gnb4")</f>
        <v>Gnb4</v>
      </c>
      <c r="C148" s="20">
        <v>4.8159999999999998</v>
      </c>
      <c r="D148" s="20">
        <v>4.3280000000000003</v>
      </c>
      <c r="E148" s="13">
        <v>6.96</v>
      </c>
    </row>
    <row r="149" spans="1:5" x14ac:dyDescent="0.25">
      <c r="A149" t="s">
        <v>1804</v>
      </c>
      <c r="B149" s="1" t="str">
        <f>HYPERLINK("http://www.ncbi.nlm.nih.gov/pubmed/?term=Fmnl2", "Fmnl2")</f>
        <v>Fmnl2</v>
      </c>
      <c r="C149" s="20">
        <v>4.6639999999999997</v>
      </c>
      <c r="D149" s="4">
        <v>5.226</v>
      </c>
      <c r="E149" s="15">
        <v>7.0519999999999996</v>
      </c>
    </row>
    <row r="150" spans="1:5" x14ac:dyDescent="0.25">
      <c r="A150" t="s">
        <v>523</v>
      </c>
      <c r="B150" s="1" t="str">
        <f>HYPERLINK("http://www.ncbi.nlm.nih.gov/pubmed/?term=Il4ra", "Il4ra")</f>
        <v>Il4ra</v>
      </c>
      <c r="C150" s="4">
        <v>5.9189999999999996</v>
      </c>
      <c r="D150" s="13">
        <v>6.0350000000000001</v>
      </c>
      <c r="E150" s="15">
        <v>7.2370000000000001</v>
      </c>
    </row>
    <row r="151" spans="1:5" x14ac:dyDescent="0.25">
      <c r="A151" t="s">
        <v>654</v>
      </c>
      <c r="B151" s="1" t="str">
        <f>HYPERLINK("http://www.ncbi.nlm.nih.gov/pubmed/?term=Rac2", "Rac2")</f>
        <v>Rac2</v>
      </c>
      <c r="C151" s="3">
        <v>2.6110000000000002</v>
      </c>
      <c r="D151" s="20">
        <v>4.2789999999999999</v>
      </c>
      <c r="E151" s="13">
        <v>6.8239999999999998</v>
      </c>
    </row>
    <row r="152" spans="1:5" x14ac:dyDescent="0.25">
      <c r="A152" t="s">
        <v>419</v>
      </c>
      <c r="B152" s="1" t="str">
        <f>HYPERLINK("http://www.ncbi.nlm.nih.gov/pubmed/?term=Fam89a", "Fam89a")</f>
        <v>Fam89a</v>
      </c>
      <c r="C152" s="3">
        <v>2.5680000000000001</v>
      </c>
      <c r="D152" s="22">
        <v>3.4889999999999999</v>
      </c>
      <c r="E152" s="13">
        <v>6.6319999999999997</v>
      </c>
    </row>
    <row r="153" spans="1:5" x14ac:dyDescent="0.25">
      <c r="A153" t="s">
        <v>783</v>
      </c>
      <c r="B153" s="1" t="str">
        <f>HYPERLINK("http://www.ncbi.nlm.nih.gov/pubmed/?term=Bcl2l1", "Bcl2l1")</f>
        <v>Bcl2l1</v>
      </c>
      <c r="C153" s="20">
        <v>4.141</v>
      </c>
      <c r="D153" s="20">
        <v>4.1669999999999998</v>
      </c>
      <c r="E153" s="13">
        <v>6.782</v>
      </c>
    </row>
    <row r="154" spans="1:5" x14ac:dyDescent="0.25">
      <c r="A154" t="s">
        <v>1827</v>
      </c>
      <c r="B154" s="1" t="str">
        <f>HYPERLINK("http://www.ncbi.nlm.nih.gov/pubmed/?term=Fhad1", "Fhad1")</f>
        <v>Fhad1</v>
      </c>
      <c r="C154" s="12">
        <v>-1.31</v>
      </c>
      <c r="D154" s="3">
        <v>2.7450000000000001</v>
      </c>
      <c r="E154" s="13">
        <v>6.4450000000000003</v>
      </c>
    </row>
    <row r="155" spans="1:5" x14ac:dyDescent="0.25">
      <c r="A155" t="s">
        <v>1598</v>
      </c>
      <c r="B155" s="1" t="str">
        <f>HYPERLINK("http://www.ncbi.nlm.nih.gov/pubmed/?term=Rnf19b", "Rnf19b")</f>
        <v>Rnf19b</v>
      </c>
      <c r="C155" s="22">
        <v>3.7490000000000001</v>
      </c>
      <c r="D155" s="4">
        <v>5.3890000000000002</v>
      </c>
      <c r="E155" s="15">
        <v>7.0540000000000003</v>
      </c>
    </row>
    <row r="156" spans="1:5" x14ac:dyDescent="0.25">
      <c r="A156" t="s">
        <v>318</v>
      </c>
      <c r="B156" s="1" t="str">
        <f>HYPERLINK("http://www.ncbi.nlm.nih.gov/pubmed/?term=Foxp4", "Foxp4")</f>
        <v>Foxp4</v>
      </c>
      <c r="C156" s="4">
        <v>5.2549999999999999</v>
      </c>
      <c r="D156" s="4">
        <v>5.3920000000000003</v>
      </c>
      <c r="E156" s="15">
        <v>7.0510000000000002</v>
      </c>
    </row>
    <row r="157" spans="1:5" x14ac:dyDescent="0.25">
      <c r="A157" t="s">
        <v>386</v>
      </c>
      <c r="B157" s="1" t="str">
        <f>HYPERLINK("http://www.ncbi.nlm.nih.gov/pubmed/?term=Tpi1", "Tpi1")</f>
        <v>Tpi1</v>
      </c>
      <c r="C157" s="13">
        <v>6.0830000000000002</v>
      </c>
      <c r="D157" s="13">
        <v>6.2190000000000003</v>
      </c>
      <c r="E157" s="15">
        <v>7.24</v>
      </c>
    </row>
    <row r="158" spans="1:5" x14ac:dyDescent="0.25">
      <c r="A158" t="s">
        <v>478</v>
      </c>
      <c r="B158" s="1" t="str">
        <f>HYPERLINK("http://www.ncbi.nlm.nih.gov/pubmed/?term=S100a13", "S100a13")</f>
        <v>S100a13</v>
      </c>
      <c r="C158" s="4">
        <v>5.476</v>
      </c>
      <c r="D158" s="4">
        <v>5.0910000000000002</v>
      </c>
      <c r="E158" s="15">
        <v>7.0679999999999996</v>
      </c>
    </row>
    <row r="159" spans="1:5" x14ac:dyDescent="0.25">
      <c r="A159" t="s">
        <v>905</v>
      </c>
      <c r="B159" s="1" t="str">
        <f>HYPERLINK("http://www.ncbi.nlm.nih.gov/pubmed/?term=Ero1lb", "Ero1lb")</f>
        <v>Ero1lb</v>
      </c>
      <c r="C159" s="3">
        <v>2.1840000000000002</v>
      </c>
      <c r="D159" s="4">
        <v>5.8840000000000003</v>
      </c>
      <c r="E159" s="15">
        <v>7.1529999999999996</v>
      </c>
    </row>
    <row r="160" spans="1:5" x14ac:dyDescent="0.25">
      <c r="A160" t="s">
        <v>1323</v>
      </c>
      <c r="B160" s="1" t="str">
        <f>HYPERLINK("http://www.ncbi.nlm.nih.gov/pubmed/?term=Gm17386", "Gm17386")</f>
        <v>Gm17386</v>
      </c>
      <c r="C160" s="4">
        <v>5.415</v>
      </c>
      <c r="D160" s="13">
        <v>6.1989999999999998</v>
      </c>
      <c r="E160" s="15">
        <v>7.2229999999999999</v>
      </c>
    </row>
    <row r="161" spans="1:5" x14ac:dyDescent="0.25">
      <c r="A161" t="s">
        <v>958</v>
      </c>
      <c r="B161" s="1" t="str">
        <f>HYPERLINK("http://www.ncbi.nlm.nih.gov/pubmed/?term=Plekha2", "Plekha2")</f>
        <v>Plekha2</v>
      </c>
      <c r="C161" s="4">
        <v>5.0609999999999999</v>
      </c>
      <c r="D161" s="20">
        <v>4.5880000000000001</v>
      </c>
      <c r="E161" s="13">
        <v>6.9560000000000004</v>
      </c>
    </row>
    <row r="162" spans="1:5" x14ac:dyDescent="0.25">
      <c r="A162" t="s">
        <v>1769</v>
      </c>
      <c r="B162" s="1" t="str">
        <f>HYPERLINK("http://www.ncbi.nlm.nih.gov/pubmed/?term=Ppp1r15a", "Ppp1r15a")</f>
        <v>Ppp1r15a</v>
      </c>
      <c r="C162" s="20">
        <v>4.452</v>
      </c>
      <c r="D162" s="4">
        <v>5.1319999999999997</v>
      </c>
      <c r="E162" s="13">
        <v>6.97</v>
      </c>
    </row>
    <row r="163" spans="1:5" x14ac:dyDescent="0.25">
      <c r="A163" t="s">
        <v>1921</v>
      </c>
      <c r="B163" s="1" t="str">
        <f>HYPERLINK("http://www.ncbi.nlm.nih.gov/pubmed/?term=Dusp15", "Dusp15")</f>
        <v>Dusp15</v>
      </c>
      <c r="C163" s="12">
        <v>0.61029999999999995</v>
      </c>
      <c r="D163" s="12">
        <v>0.1196</v>
      </c>
      <c r="E163" s="4">
        <v>5.92</v>
      </c>
    </row>
    <row r="164" spans="1:5" x14ac:dyDescent="0.25">
      <c r="A164" t="s">
        <v>53</v>
      </c>
      <c r="B164" s="1" t="str">
        <f>HYPERLINK("http://www.ncbi.nlm.nih.gov/pubmed/?term=Arhgap1", "Arhgap1")</f>
        <v>Arhgap1</v>
      </c>
      <c r="C164" s="20">
        <v>4.9740000000000002</v>
      </c>
      <c r="D164" s="4">
        <v>5.4219999999999997</v>
      </c>
      <c r="E164" s="15">
        <v>7.0119999999999996</v>
      </c>
    </row>
    <row r="165" spans="1:5" x14ac:dyDescent="0.25">
      <c r="A165" t="s">
        <v>1048</v>
      </c>
      <c r="B165" s="1" t="str">
        <f>HYPERLINK("http://www.ncbi.nlm.nih.gov/pubmed/?term=Fnbp1", "Fnbp1")</f>
        <v>Fnbp1</v>
      </c>
      <c r="C165" s="20">
        <v>4.4409999999999998</v>
      </c>
      <c r="D165" s="4">
        <v>5.0049999999999999</v>
      </c>
      <c r="E165" s="13">
        <v>6.9160000000000004</v>
      </c>
    </row>
    <row r="166" spans="1:5" x14ac:dyDescent="0.25">
      <c r="A166" t="s">
        <v>984</v>
      </c>
      <c r="B166" s="1" t="str">
        <f>HYPERLINK("http://www.ncbi.nlm.nih.gov/pubmed/?term=Pitpnc1", "Pitpnc1")</f>
        <v>Pitpnc1</v>
      </c>
      <c r="C166" s="3">
        <v>2.4790000000000001</v>
      </c>
      <c r="D166" s="22">
        <v>3.7850000000000001</v>
      </c>
      <c r="E166" s="13">
        <v>6.6319999999999997</v>
      </c>
    </row>
    <row r="167" spans="1:5" x14ac:dyDescent="0.25">
      <c r="A167" t="s">
        <v>2048</v>
      </c>
      <c r="B167" s="1" t="str">
        <f>HYPERLINK("http://www.ncbi.nlm.nih.gov/pubmed/?term=Ptpn13", "Ptpn13")</f>
        <v>Ptpn13</v>
      </c>
      <c r="C167" s="20">
        <v>4.7039999999999997</v>
      </c>
      <c r="D167" s="20">
        <v>4.0579999999999998</v>
      </c>
      <c r="E167" s="13">
        <v>6.8360000000000003</v>
      </c>
    </row>
    <row r="168" spans="1:5" x14ac:dyDescent="0.25">
      <c r="A168" t="s">
        <v>1954</v>
      </c>
      <c r="B168" s="1" t="str">
        <f>HYPERLINK("http://www.ncbi.nlm.nih.gov/pubmed/?term=Serinc3", "Serinc3")</f>
        <v>Serinc3</v>
      </c>
      <c r="C168" s="4">
        <v>5.9560000000000004</v>
      </c>
      <c r="D168" s="4">
        <v>5.6020000000000003</v>
      </c>
      <c r="E168" s="15">
        <v>7.1239999999999997</v>
      </c>
    </row>
    <row r="169" spans="1:5" x14ac:dyDescent="0.25">
      <c r="A169" t="s">
        <v>1133</v>
      </c>
      <c r="B169" s="1" t="str">
        <f>HYPERLINK("http://www.ncbi.nlm.nih.gov/pubmed/?term=Capg", "Capg")</f>
        <v>Capg</v>
      </c>
      <c r="C169" s="20">
        <v>4.0960000000000001</v>
      </c>
      <c r="D169" s="4">
        <v>5.9260000000000002</v>
      </c>
      <c r="E169" s="15">
        <v>7.1139999999999999</v>
      </c>
    </row>
    <row r="170" spans="1:5" x14ac:dyDescent="0.25">
      <c r="A170" t="s">
        <v>1039</v>
      </c>
      <c r="B170" s="1" t="str">
        <f>HYPERLINK("http://www.ncbi.nlm.nih.gov/pubmed/?term=Dhcr24", "Dhcr24")</f>
        <v>Dhcr24</v>
      </c>
      <c r="C170" s="22">
        <v>3.9969999999999999</v>
      </c>
      <c r="D170" s="20">
        <v>4.1660000000000004</v>
      </c>
      <c r="E170" s="13">
        <v>6.7039999999999997</v>
      </c>
    </row>
    <row r="171" spans="1:5" x14ac:dyDescent="0.25">
      <c r="A171" t="s">
        <v>115</v>
      </c>
      <c r="B171" s="1" t="str">
        <f>HYPERLINK("http://www.ncbi.nlm.nih.gov/pubmed/?term=Dnase1l3", "Dnase1l3")</f>
        <v>Dnase1l3</v>
      </c>
      <c r="C171" s="12">
        <v>0.90810000000000002</v>
      </c>
      <c r="D171" s="3">
        <v>2.2570000000000001</v>
      </c>
      <c r="E171" s="13">
        <v>6.2480000000000002</v>
      </c>
    </row>
    <row r="172" spans="1:5" x14ac:dyDescent="0.25">
      <c r="A172" t="s">
        <v>120</v>
      </c>
      <c r="B172" s="1" t="str">
        <f>HYPERLINK("http://www.ncbi.nlm.nih.gov/pubmed/?term=S100a3", "S100a3")</f>
        <v>S100a3</v>
      </c>
      <c r="C172" s="22">
        <v>3.7469999999999999</v>
      </c>
      <c r="D172" s="22">
        <v>3.532</v>
      </c>
      <c r="E172" s="13">
        <v>6.59</v>
      </c>
    </row>
    <row r="173" spans="1:5" x14ac:dyDescent="0.25">
      <c r="A173" t="s">
        <v>605</v>
      </c>
      <c r="B173" s="1" t="str">
        <f>HYPERLINK("http://www.ncbi.nlm.nih.gov/pubmed/?term=Syt1", "Syt1")</f>
        <v>Syt1</v>
      </c>
      <c r="C173" s="12">
        <v>-1.28</v>
      </c>
      <c r="D173" s="20">
        <v>4.8319999999999999</v>
      </c>
      <c r="E173" s="13">
        <v>6.8390000000000004</v>
      </c>
    </row>
    <row r="174" spans="1:5" x14ac:dyDescent="0.25">
      <c r="A174" t="s">
        <v>1252</v>
      </c>
      <c r="B174" s="1" t="str">
        <f>HYPERLINK("http://www.ncbi.nlm.nih.gov/pubmed/?term=Nsmce2", "Nsmce2")</f>
        <v>Nsmce2</v>
      </c>
      <c r="C174" s="20">
        <v>4.0170000000000003</v>
      </c>
      <c r="D174" s="22">
        <v>3.8119999999999998</v>
      </c>
      <c r="E174" s="13">
        <v>6.6479999999999997</v>
      </c>
    </row>
    <row r="175" spans="1:5" x14ac:dyDescent="0.25">
      <c r="A175" t="s">
        <v>1666</v>
      </c>
      <c r="B175" s="1" t="str">
        <f>HYPERLINK("http://www.ncbi.nlm.nih.gov/pubmed/?term=Tnfrsf11b", "Tnfrsf11b")</f>
        <v>Tnfrsf11b</v>
      </c>
      <c r="C175" s="12">
        <v>-1.2390000000000001</v>
      </c>
      <c r="D175" s="22">
        <v>3.9550000000000001</v>
      </c>
      <c r="E175" s="13">
        <v>6.63</v>
      </c>
    </row>
    <row r="176" spans="1:5" x14ac:dyDescent="0.25">
      <c r="A176" t="s">
        <v>1355</v>
      </c>
      <c r="B176" s="1" t="str">
        <f>HYPERLINK("http://www.ncbi.nlm.nih.gov/pubmed/?term=Ak2", "Ak2")</f>
        <v>Ak2</v>
      </c>
      <c r="C176" s="4">
        <v>5.6589999999999998</v>
      </c>
      <c r="D176" s="4">
        <v>5.4029999999999996</v>
      </c>
      <c r="E176" s="15">
        <v>7.0170000000000003</v>
      </c>
    </row>
    <row r="177" spans="1:5" x14ac:dyDescent="0.25">
      <c r="A177" t="s">
        <v>1623</v>
      </c>
      <c r="B177" s="1" t="str">
        <f>HYPERLINK("http://www.ncbi.nlm.nih.gov/pubmed/?term=Cpne2", "Cpne2")</f>
        <v>Cpne2</v>
      </c>
      <c r="C177" s="12">
        <v>0.42530000000000001</v>
      </c>
      <c r="D177" s="22">
        <v>3.5590000000000002</v>
      </c>
      <c r="E177" s="13">
        <v>6.5259999999999998</v>
      </c>
    </row>
    <row r="178" spans="1:5" x14ac:dyDescent="0.25">
      <c r="A178" t="s">
        <v>553</v>
      </c>
      <c r="B178" s="1" t="str">
        <f>HYPERLINK("http://www.ncbi.nlm.nih.gov/pubmed/?term=Htra4", "Htra4")</f>
        <v>Htra4</v>
      </c>
      <c r="C178" s="12">
        <v>-2.8010000000000002</v>
      </c>
      <c r="D178" s="12">
        <v>0.29870000000000002</v>
      </c>
      <c r="E178" s="4">
        <v>5.76</v>
      </c>
    </row>
    <row r="179" spans="1:5" x14ac:dyDescent="0.25">
      <c r="A179" t="s">
        <v>1633</v>
      </c>
      <c r="B179" s="1" t="str">
        <f>HYPERLINK("http://www.ncbi.nlm.nih.gov/pubmed/?term=Myo3b", "Myo3b")</f>
        <v>Myo3b</v>
      </c>
      <c r="C179" s="12">
        <v>-2.84</v>
      </c>
      <c r="D179" s="11">
        <v>1.752</v>
      </c>
      <c r="E179" s="13">
        <v>6.09</v>
      </c>
    </row>
    <row r="180" spans="1:5" x14ac:dyDescent="0.25">
      <c r="A180" t="s">
        <v>1490</v>
      </c>
      <c r="B180" s="1" t="str">
        <f>HYPERLINK("http://www.ncbi.nlm.nih.gov/pubmed/?term=Sh3tc2", "Sh3tc2")</f>
        <v>Sh3tc2</v>
      </c>
      <c r="C180" s="12">
        <v>-0.15770000000000001</v>
      </c>
      <c r="D180" s="22">
        <v>3.4590000000000001</v>
      </c>
      <c r="E180" s="13">
        <v>6.4779999999999998</v>
      </c>
    </row>
    <row r="181" spans="1:5" x14ac:dyDescent="0.25">
      <c r="A181" t="s">
        <v>1817</v>
      </c>
      <c r="B181" s="1" t="str">
        <f>HYPERLINK("http://www.ncbi.nlm.nih.gov/pubmed/?term=Zp2", "Zp2")</f>
        <v>Zp2</v>
      </c>
      <c r="C181" s="12">
        <v>-3.569</v>
      </c>
      <c r="D181" s="3">
        <v>2.5379999999999998</v>
      </c>
      <c r="E181" s="13">
        <v>6.2409999999999997</v>
      </c>
    </row>
    <row r="182" spans="1:5" x14ac:dyDescent="0.25">
      <c r="A182" t="s">
        <v>1379</v>
      </c>
      <c r="B182" s="1" t="str">
        <f>HYPERLINK("http://www.ncbi.nlm.nih.gov/pubmed/?term=H2-DMb1", "H2-DMb1")</f>
        <v>H2-DMb1</v>
      </c>
      <c r="C182" s="4">
        <v>5.3959999999999999</v>
      </c>
      <c r="D182" s="4">
        <v>5.0060000000000002</v>
      </c>
      <c r="E182" s="13">
        <v>6.9</v>
      </c>
    </row>
    <row r="183" spans="1:5" x14ac:dyDescent="0.25">
      <c r="A183" t="s">
        <v>1109</v>
      </c>
      <c r="B183" s="1" t="str">
        <f>HYPERLINK("http://www.ncbi.nlm.nih.gov/pubmed/?term=Mink1", "Mink1")</f>
        <v>Mink1</v>
      </c>
      <c r="C183" s="20">
        <v>4.069</v>
      </c>
      <c r="D183" s="4">
        <v>5.1970000000000001</v>
      </c>
      <c r="E183" s="13">
        <v>6.8520000000000003</v>
      </c>
    </row>
    <row r="184" spans="1:5" x14ac:dyDescent="0.25">
      <c r="A184" t="s">
        <v>1077</v>
      </c>
      <c r="B184" s="1" t="str">
        <f>HYPERLINK("http://www.ncbi.nlm.nih.gov/pubmed/?term=Blnk", "Blnk")</f>
        <v>Blnk</v>
      </c>
      <c r="C184" s="12">
        <v>0.36049999999999999</v>
      </c>
      <c r="D184" s="20">
        <v>4.7919999999999998</v>
      </c>
      <c r="E184" s="13">
        <v>6.7489999999999997</v>
      </c>
    </row>
    <row r="185" spans="1:5" x14ac:dyDescent="0.25">
      <c r="A185" t="s">
        <v>11</v>
      </c>
      <c r="B185" s="1" t="str">
        <f>HYPERLINK("http://www.ncbi.nlm.nih.gov/pubmed/?term=Fam18a", "Fam18a")</f>
        <v>Fam18a</v>
      </c>
      <c r="C185" s="12">
        <v>0.26790000000000003</v>
      </c>
      <c r="D185" s="3">
        <v>2.1269999999999998</v>
      </c>
      <c r="E185" s="13">
        <v>6.12</v>
      </c>
    </row>
    <row r="186" spans="1:5" x14ac:dyDescent="0.25">
      <c r="A186" t="s">
        <v>555</v>
      </c>
      <c r="B186" s="1" t="str">
        <f>HYPERLINK("http://www.ncbi.nlm.nih.gov/pubmed/?term=Mccc1", "Mccc1")</f>
        <v>Mccc1</v>
      </c>
      <c r="C186" s="4">
        <v>5.4560000000000004</v>
      </c>
      <c r="D186" s="20">
        <v>4.3730000000000002</v>
      </c>
      <c r="E186" s="13">
        <v>6.89</v>
      </c>
    </row>
    <row r="187" spans="1:5" x14ac:dyDescent="0.25">
      <c r="A187" t="s">
        <v>43</v>
      </c>
      <c r="B187" s="1" t="str">
        <f>HYPERLINK("http://www.ncbi.nlm.nih.gov/pubmed/?term=Calca", "Calca")</f>
        <v>Calca</v>
      </c>
      <c r="C187" s="12">
        <v>-0.69140000000000001</v>
      </c>
      <c r="D187" s="11">
        <v>1.6870000000000001</v>
      </c>
      <c r="E187" s="13">
        <v>6.016</v>
      </c>
    </row>
    <row r="188" spans="1:5" x14ac:dyDescent="0.25">
      <c r="A188" t="s">
        <v>1565</v>
      </c>
      <c r="B188" s="1" t="str">
        <f>HYPERLINK("http://www.ncbi.nlm.nih.gov/pubmed/?term=Fgd5", "Fgd5")</f>
        <v>Fgd5</v>
      </c>
      <c r="C188" s="12">
        <v>-0.3276</v>
      </c>
      <c r="D188" s="20">
        <v>4.5140000000000002</v>
      </c>
      <c r="E188" s="13">
        <v>6.6689999999999996</v>
      </c>
    </row>
    <row r="189" spans="1:5" x14ac:dyDescent="0.25">
      <c r="A189" t="s">
        <v>1313</v>
      </c>
      <c r="B189" s="1" t="str">
        <f>HYPERLINK("http://www.ncbi.nlm.nih.gov/pubmed/?term=Pnpla2", "Pnpla2")</f>
        <v>Pnpla2</v>
      </c>
      <c r="C189" s="4">
        <v>5.3390000000000004</v>
      </c>
      <c r="D189" s="4">
        <v>5.5679999999999996</v>
      </c>
      <c r="E189" s="13">
        <v>6.8849999999999998</v>
      </c>
    </row>
    <row r="190" spans="1:5" x14ac:dyDescent="0.25">
      <c r="A190" t="s">
        <v>791</v>
      </c>
      <c r="B190" s="1" t="str">
        <f>HYPERLINK("http://www.ncbi.nlm.nih.gov/pubmed/?term=Smpdl3a", "Smpdl3a")</f>
        <v>Smpdl3a</v>
      </c>
      <c r="C190" s="20">
        <v>4.1449999999999996</v>
      </c>
      <c r="D190" s="4">
        <v>5.5279999999999996</v>
      </c>
      <c r="E190" s="13">
        <v>6.8719999999999999</v>
      </c>
    </row>
    <row r="191" spans="1:5" x14ac:dyDescent="0.25">
      <c r="A191" t="s">
        <v>405</v>
      </c>
      <c r="B191" s="1" t="str">
        <f>HYPERLINK("http://www.ncbi.nlm.nih.gov/pubmed/?term=Snrnp25", "Snrnp25")</f>
        <v>Snrnp25</v>
      </c>
      <c r="C191" s="3">
        <v>2.7690000000000001</v>
      </c>
      <c r="D191" s="20">
        <v>4.9770000000000003</v>
      </c>
      <c r="E191" s="13">
        <v>6.742</v>
      </c>
    </row>
    <row r="192" spans="1:5" x14ac:dyDescent="0.25">
      <c r="A192" t="s">
        <v>1020</v>
      </c>
      <c r="B192" s="1" t="str">
        <f>HYPERLINK("http://www.ncbi.nlm.nih.gov/pubmed/?term=Jph1", "Jph1")</f>
        <v>Jph1</v>
      </c>
      <c r="C192" s="20">
        <v>4.2450000000000001</v>
      </c>
      <c r="D192" s="22">
        <v>3.0590000000000002</v>
      </c>
      <c r="E192" s="13">
        <v>6.5709999999999997</v>
      </c>
    </row>
    <row r="193" spans="1:5" x14ac:dyDescent="0.25">
      <c r="A193" t="s">
        <v>394</v>
      </c>
      <c r="B193" s="1" t="str">
        <f>HYPERLINK("http://www.ncbi.nlm.nih.gov/pubmed/?term=Herpud1", "Herpud1")</f>
        <v>Herpud1</v>
      </c>
      <c r="C193" s="22">
        <v>3.4470000000000001</v>
      </c>
      <c r="D193" s="4">
        <v>5.5819999999999999</v>
      </c>
      <c r="E193" s="13">
        <v>6.8739999999999997</v>
      </c>
    </row>
    <row r="194" spans="1:5" x14ac:dyDescent="0.25">
      <c r="A194" t="s">
        <v>611</v>
      </c>
      <c r="B194" s="1" t="str">
        <f>HYPERLINK("http://www.ncbi.nlm.nih.gov/pubmed/?term=Ptprq", "Ptprq")</f>
        <v>Ptprq</v>
      </c>
      <c r="C194" s="12">
        <v>-1.6719999999999999</v>
      </c>
      <c r="D194" s="4">
        <v>5.4530000000000003</v>
      </c>
      <c r="E194" s="13">
        <v>6.8380000000000001</v>
      </c>
    </row>
    <row r="195" spans="1:5" x14ac:dyDescent="0.25">
      <c r="A195" t="s">
        <v>831</v>
      </c>
      <c r="B195" s="1" t="str">
        <f>HYPERLINK("http://www.ncbi.nlm.nih.gov/pubmed/?term=Slc24a4", "Slc24a4")</f>
        <v>Slc24a4</v>
      </c>
      <c r="C195" s="12">
        <v>-1.4019999999999999</v>
      </c>
      <c r="D195" s="4">
        <v>5.0339999999999998</v>
      </c>
      <c r="E195" s="13">
        <v>6.7220000000000004</v>
      </c>
    </row>
    <row r="196" spans="1:5" x14ac:dyDescent="0.25">
      <c r="A196" t="s">
        <v>1176</v>
      </c>
      <c r="B196" s="1" t="str">
        <f>HYPERLINK("http://www.ncbi.nlm.nih.gov/pubmed/?term=Bmp2k", "Bmp2k")</f>
        <v>Bmp2k</v>
      </c>
      <c r="C196" s="22">
        <v>3.82</v>
      </c>
      <c r="D196" s="22">
        <v>3.75</v>
      </c>
      <c r="E196" s="13">
        <v>6.4409999999999998</v>
      </c>
    </row>
    <row r="197" spans="1:5" x14ac:dyDescent="0.25">
      <c r="A197" t="s">
        <v>70</v>
      </c>
      <c r="B197" s="1" t="str">
        <f>HYPERLINK("http://www.ncbi.nlm.nih.gov/pubmed/?term=Ncf4", "Ncf4")</f>
        <v>Ncf4</v>
      </c>
      <c r="C197" s="12">
        <v>-1.54</v>
      </c>
      <c r="D197" s="3">
        <v>2.968</v>
      </c>
      <c r="E197" s="13">
        <v>6.234</v>
      </c>
    </row>
    <row r="198" spans="1:5" x14ac:dyDescent="0.25">
      <c r="A198" t="s">
        <v>475</v>
      </c>
      <c r="B198" s="1" t="str">
        <f>HYPERLINK("http://www.ncbi.nlm.nih.gov/pubmed/?term=Snx29", "Snx29")</f>
        <v>Snx29</v>
      </c>
      <c r="C198" s="22">
        <v>3.8170000000000002</v>
      </c>
      <c r="D198" s="22">
        <v>3.11</v>
      </c>
      <c r="E198" s="13">
        <v>6.43</v>
      </c>
    </row>
    <row r="199" spans="1:5" x14ac:dyDescent="0.25">
      <c r="A199" t="s">
        <v>983</v>
      </c>
      <c r="B199" s="1" t="str">
        <f>HYPERLINK("http://www.ncbi.nlm.nih.gov/pubmed/?term=Slc4a8", "Slc4a8")</f>
        <v>Slc4a8</v>
      </c>
      <c r="C199" s="12">
        <v>-2.3759999999999999</v>
      </c>
      <c r="D199" s="3">
        <v>2.9319999999999999</v>
      </c>
      <c r="E199" s="13">
        <v>6.2160000000000002</v>
      </c>
    </row>
    <row r="200" spans="1:5" x14ac:dyDescent="0.25">
      <c r="A200" t="s">
        <v>990</v>
      </c>
      <c r="B200" s="1" t="str">
        <f>HYPERLINK("http://www.ncbi.nlm.nih.gov/pubmed/?term=Atp6v1c1", "Atp6v1c1")</f>
        <v>Atp6v1c1</v>
      </c>
      <c r="C200" s="20">
        <v>4.016</v>
      </c>
      <c r="D200" s="20">
        <v>4.9139999999999997</v>
      </c>
      <c r="E200" s="13">
        <v>6.6710000000000003</v>
      </c>
    </row>
    <row r="201" spans="1:5" x14ac:dyDescent="0.25">
      <c r="A201" t="s">
        <v>106</v>
      </c>
      <c r="B201" s="1" t="str">
        <f>HYPERLINK("http://www.ncbi.nlm.nih.gov/pubmed/?term=Dpp10", "Dpp10")</f>
        <v>Dpp10</v>
      </c>
      <c r="C201" s="12">
        <v>-1.385</v>
      </c>
      <c r="D201" s="11">
        <v>1.7110000000000001</v>
      </c>
      <c r="E201" s="4">
        <v>5.9279999999999999</v>
      </c>
    </row>
    <row r="202" spans="1:5" x14ac:dyDescent="0.25">
      <c r="A202" t="s">
        <v>646</v>
      </c>
      <c r="B202" s="1" t="str">
        <f>HYPERLINK("http://www.ncbi.nlm.nih.gov/pubmed/?term=Zmiz2", "Zmiz2")</f>
        <v>Zmiz2</v>
      </c>
      <c r="C202" s="22">
        <v>3.8519999999999999</v>
      </c>
      <c r="D202" s="20">
        <v>4.9800000000000004</v>
      </c>
      <c r="E202" s="13">
        <v>6.6840000000000002</v>
      </c>
    </row>
    <row r="203" spans="1:5" x14ac:dyDescent="0.25">
      <c r="A203" t="s">
        <v>1246</v>
      </c>
      <c r="B203" s="1" t="str">
        <f>HYPERLINK("http://www.ncbi.nlm.nih.gov/pubmed/?term=Cyp26a1", "Cyp26a1")</f>
        <v>Cyp26a1</v>
      </c>
      <c r="C203" s="12">
        <v>-3.3519999999999999</v>
      </c>
      <c r="D203" s="11">
        <v>1.032</v>
      </c>
      <c r="E203" s="4">
        <v>5.77</v>
      </c>
    </row>
    <row r="204" spans="1:5" x14ac:dyDescent="0.25">
      <c r="A204" t="s">
        <v>2036</v>
      </c>
      <c r="B204" s="1" t="str">
        <f>HYPERLINK("http://www.ncbi.nlm.nih.gov/pubmed/?term=Hebp1", "Hebp1")</f>
        <v>Hebp1</v>
      </c>
      <c r="C204" s="4">
        <v>5.8070000000000004</v>
      </c>
      <c r="D204" s="22">
        <v>3.4039999999999999</v>
      </c>
      <c r="E204" s="13">
        <v>6.8639999999999999</v>
      </c>
    </row>
    <row r="205" spans="1:5" x14ac:dyDescent="0.25">
      <c r="A205" t="s">
        <v>843</v>
      </c>
      <c r="B205" s="1" t="str">
        <f>HYPERLINK("http://www.ncbi.nlm.nih.gov/pubmed/?term=Serpinb2", "Serpinb2")</f>
        <v>Serpinb2</v>
      </c>
      <c r="C205" s="12">
        <v>-0.56110000000000004</v>
      </c>
      <c r="D205" s="20">
        <v>4.343</v>
      </c>
      <c r="E205" s="13">
        <v>6.524</v>
      </c>
    </row>
    <row r="206" spans="1:5" x14ac:dyDescent="0.25">
      <c r="A206" t="s">
        <v>1041</v>
      </c>
      <c r="B206" s="1" t="str">
        <f>HYPERLINK("http://www.ncbi.nlm.nih.gov/pubmed/?term=Cldn13", "Cldn13")</f>
        <v>Cldn13</v>
      </c>
      <c r="C206" s="12">
        <v>-1.546</v>
      </c>
      <c r="D206" s="12">
        <v>0.9718</v>
      </c>
      <c r="E206" s="4">
        <v>5.7430000000000003</v>
      </c>
    </row>
    <row r="207" spans="1:5" x14ac:dyDescent="0.25">
      <c r="A207" t="s">
        <v>1220</v>
      </c>
      <c r="B207" s="1" t="str">
        <f>HYPERLINK("http://www.ncbi.nlm.nih.gov/pubmed/?term=Rab21", "Rab21")</f>
        <v>Rab21</v>
      </c>
      <c r="C207" s="4">
        <v>5.8049999999999997</v>
      </c>
      <c r="D207" s="4">
        <v>5.41</v>
      </c>
      <c r="E207" s="13">
        <v>6.8559999999999999</v>
      </c>
    </row>
    <row r="208" spans="1:5" x14ac:dyDescent="0.25">
      <c r="A208" t="s">
        <v>1901</v>
      </c>
      <c r="B208" s="1" t="str">
        <f>HYPERLINK("http://www.ncbi.nlm.nih.gov/pubmed/?term=Col14a1", "Col14a1")</f>
        <v>Col14a1</v>
      </c>
      <c r="C208" s="12">
        <v>-1.837</v>
      </c>
      <c r="D208" s="11">
        <v>1.2909999999999999</v>
      </c>
      <c r="E208" s="4">
        <v>5.8029999999999999</v>
      </c>
    </row>
    <row r="209" spans="1:5" x14ac:dyDescent="0.25">
      <c r="A209" t="s">
        <v>1165</v>
      </c>
      <c r="B209" s="1" t="str">
        <f>HYPERLINK("http://www.ncbi.nlm.nih.gov/pubmed/?term=Guk1", "Guk1")</f>
        <v>Guk1</v>
      </c>
      <c r="C209" s="20">
        <v>4.13</v>
      </c>
      <c r="D209" s="4">
        <v>5.2080000000000002</v>
      </c>
      <c r="E209" s="13">
        <v>6.7060000000000004</v>
      </c>
    </row>
    <row r="210" spans="1:5" x14ac:dyDescent="0.25">
      <c r="A210" t="s">
        <v>341</v>
      </c>
      <c r="B210" s="1" t="str">
        <f>HYPERLINK("http://www.ncbi.nlm.nih.gov/pubmed/?term=Syn2", "Syn2")</f>
        <v>Syn2</v>
      </c>
      <c r="C210" s="12">
        <v>-3.411</v>
      </c>
      <c r="D210" s="11">
        <v>1.359</v>
      </c>
      <c r="E210" s="4">
        <v>5.8150000000000004</v>
      </c>
    </row>
    <row r="211" spans="1:5" x14ac:dyDescent="0.25">
      <c r="A211" t="s">
        <v>1097</v>
      </c>
      <c r="B211" s="1" t="str">
        <f>HYPERLINK("http://www.ncbi.nlm.nih.gov/pubmed/?term=Micall2", "Micall2")</f>
        <v>Micall2</v>
      </c>
      <c r="C211" s="22">
        <v>3.137</v>
      </c>
      <c r="D211" s="22">
        <v>3.722</v>
      </c>
      <c r="E211" s="13">
        <v>6.3609999999999998</v>
      </c>
    </row>
    <row r="212" spans="1:5" x14ac:dyDescent="0.25">
      <c r="A212" t="s">
        <v>768</v>
      </c>
      <c r="B212" s="1" t="str">
        <f>HYPERLINK("http://www.ncbi.nlm.nih.gov/pubmed/?term=Fam134b", "Fam134b")</f>
        <v>Fam134b</v>
      </c>
      <c r="C212" s="20">
        <v>4.9210000000000003</v>
      </c>
      <c r="D212" s="20">
        <v>4.2699999999999996</v>
      </c>
      <c r="E212" s="13">
        <v>6.6360000000000001</v>
      </c>
    </row>
    <row r="213" spans="1:5" x14ac:dyDescent="0.25">
      <c r="A213" t="s">
        <v>916</v>
      </c>
      <c r="B213" s="1" t="str">
        <f>HYPERLINK("http://www.ncbi.nlm.nih.gov/pubmed/?term=Skint9", "Skint9")</f>
        <v>Skint9</v>
      </c>
      <c r="C213" s="12">
        <v>-2.339</v>
      </c>
      <c r="D213" s="20">
        <v>4.2119999999999997</v>
      </c>
      <c r="E213" s="13">
        <v>6.4720000000000004</v>
      </c>
    </row>
    <row r="214" spans="1:5" x14ac:dyDescent="0.25">
      <c r="A214" t="s">
        <v>1008</v>
      </c>
      <c r="B214" s="1" t="str">
        <f>HYPERLINK("http://www.ncbi.nlm.nih.gov/pubmed/?term=Ciita", "Ciita")</f>
        <v>Ciita</v>
      </c>
      <c r="C214" s="4">
        <v>5.7240000000000002</v>
      </c>
      <c r="D214" s="20">
        <v>4.8490000000000002</v>
      </c>
      <c r="E214" s="13">
        <v>6.8129999999999997</v>
      </c>
    </row>
    <row r="215" spans="1:5" x14ac:dyDescent="0.25">
      <c r="A215" t="s">
        <v>541</v>
      </c>
      <c r="B215" s="1" t="str">
        <f>HYPERLINK("http://www.ncbi.nlm.nih.gov/pubmed/?term=Lsp1", "Lsp1")</f>
        <v>Lsp1</v>
      </c>
      <c r="C215" s="22">
        <v>3.35</v>
      </c>
      <c r="D215" s="3">
        <v>2.044</v>
      </c>
      <c r="E215" s="13">
        <v>6.26</v>
      </c>
    </row>
    <row r="216" spans="1:5" x14ac:dyDescent="0.25">
      <c r="A216" t="s">
        <v>649</v>
      </c>
      <c r="B216" s="1" t="str">
        <f>HYPERLINK("http://www.ncbi.nlm.nih.gov/pubmed/?term=Casp4", "Casp4")</f>
        <v>Casp4</v>
      </c>
      <c r="C216" s="22">
        <v>3.476</v>
      </c>
      <c r="D216" s="4">
        <v>5.0529999999999999</v>
      </c>
      <c r="E216" s="13">
        <v>6.6429999999999998</v>
      </c>
    </row>
    <row r="217" spans="1:5" x14ac:dyDescent="0.25">
      <c r="A217" t="s">
        <v>4</v>
      </c>
      <c r="B217" s="1" t="str">
        <f>HYPERLINK("http://www.ncbi.nlm.nih.gov/pubmed/?term=Epb4.1l4b", "Epb4.1l4b")</f>
        <v>Epb4.1l4b</v>
      </c>
      <c r="C217" s="22">
        <v>3.7090000000000001</v>
      </c>
      <c r="D217" s="4">
        <v>5.6550000000000002</v>
      </c>
      <c r="E217" s="13">
        <v>6.766</v>
      </c>
    </row>
    <row r="218" spans="1:5" x14ac:dyDescent="0.25">
      <c r="A218" t="s">
        <v>762</v>
      </c>
      <c r="B218" s="1" t="str">
        <f>HYPERLINK("http://www.ncbi.nlm.nih.gov/pubmed/?term=Gramd4", "Gramd4")</f>
        <v>Gramd4</v>
      </c>
      <c r="C218" s="3">
        <v>2.109</v>
      </c>
      <c r="D218" s="22">
        <v>3.9239999999999999</v>
      </c>
      <c r="E218" s="13">
        <v>6.3630000000000004</v>
      </c>
    </row>
    <row r="219" spans="1:5" x14ac:dyDescent="0.25">
      <c r="A219" t="s">
        <v>1304</v>
      </c>
      <c r="B219" s="1" t="str">
        <f>HYPERLINK("http://www.ncbi.nlm.nih.gov/pubmed/?term=Acad9", "Acad9")</f>
        <v>Acad9</v>
      </c>
      <c r="C219" s="20">
        <v>4.8099999999999996</v>
      </c>
      <c r="D219" s="4">
        <v>5.2489999999999997</v>
      </c>
      <c r="E219" s="13">
        <v>6.6669999999999998</v>
      </c>
    </row>
    <row r="220" spans="1:5" x14ac:dyDescent="0.25">
      <c r="A220" t="s">
        <v>1935</v>
      </c>
      <c r="B220" s="1" t="str">
        <f>HYPERLINK("http://www.ncbi.nlm.nih.gov/pubmed/?term=Stra6", "Stra6")</f>
        <v>Stra6</v>
      </c>
      <c r="C220" s="12">
        <v>-1.0940000000000001</v>
      </c>
      <c r="D220" s="3">
        <v>2.371</v>
      </c>
      <c r="E220" s="4">
        <v>5.992</v>
      </c>
    </row>
    <row r="221" spans="1:5" x14ac:dyDescent="0.25">
      <c r="A221" t="s">
        <v>1134</v>
      </c>
      <c r="B221" s="1" t="str">
        <f>HYPERLINK("http://www.ncbi.nlm.nih.gov/pubmed/?term=Ly9", "Ly9")</f>
        <v>Ly9</v>
      </c>
      <c r="C221" s="12">
        <v>-0.25829999999999997</v>
      </c>
      <c r="D221" s="12">
        <v>-0.65590000000000004</v>
      </c>
      <c r="E221" s="4">
        <v>5.4409999999999998</v>
      </c>
    </row>
    <row r="222" spans="1:5" x14ac:dyDescent="0.25">
      <c r="A222" t="s">
        <v>1072</v>
      </c>
      <c r="B222" s="1" t="str">
        <f>HYPERLINK("http://www.ncbi.nlm.nih.gov/pubmed/?term=Fcer1g", "Fcer1g")</f>
        <v>Fcer1g</v>
      </c>
      <c r="C222" s="12">
        <v>-1.3029999999999999</v>
      </c>
      <c r="D222" s="12">
        <v>-0.62109999999999999</v>
      </c>
      <c r="E222" s="4">
        <v>5.4359999999999999</v>
      </c>
    </row>
    <row r="223" spans="1:5" x14ac:dyDescent="0.25">
      <c r="A223" t="s">
        <v>2032</v>
      </c>
      <c r="B223" s="1" t="str">
        <f>HYPERLINK("http://www.ncbi.nlm.nih.gov/pubmed/?term=Eif2b5", "Eif2b5")</f>
        <v>Eif2b5</v>
      </c>
      <c r="C223" s="20">
        <v>4.9640000000000004</v>
      </c>
      <c r="D223" s="20">
        <v>4.4640000000000004</v>
      </c>
      <c r="E223" s="13">
        <v>6.58</v>
      </c>
    </row>
    <row r="224" spans="1:5" x14ac:dyDescent="0.25">
      <c r="A224" t="s">
        <v>506</v>
      </c>
      <c r="B224" s="1" t="str">
        <f>HYPERLINK("http://www.ncbi.nlm.nih.gov/pubmed/?term=Asprv1", "Asprv1")</f>
        <v>Asprv1</v>
      </c>
      <c r="C224" s="12">
        <v>-0.1512</v>
      </c>
      <c r="D224" s="4">
        <v>5.57</v>
      </c>
      <c r="E224" s="13">
        <v>6.7169999999999996</v>
      </c>
    </row>
    <row r="225" spans="1:5" x14ac:dyDescent="0.25">
      <c r="A225" t="s">
        <v>1062</v>
      </c>
      <c r="B225" s="1" t="str">
        <f>HYPERLINK("http://www.ncbi.nlm.nih.gov/pubmed/?term=Me1", "Me1")</f>
        <v>Me1</v>
      </c>
      <c r="C225" s="20">
        <v>4.0609999999999999</v>
      </c>
      <c r="D225" s="20">
        <v>4.2919999999999998</v>
      </c>
      <c r="E225" s="13">
        <v>6.4169999999999998</v>
      </c>
    </row>
    <row r="226" spans="1:5" x14ac:dyDescent="0.25">
      <c r="A226" t="s">
        <v>1862</v>
      </c>
      <c r="B226" s="1" t="str">
        <f>HYPERLINK("http://www.ncbi.nlm.nih.gov/pubmed/?term=Ckmt1", "Ckmt1")</f>
        <v>Ckmt1</v>
      </c>
      <c r="C226" s="12">
        <v>-0.63539999999999996</v>
      </c>
      <c r="D226" s="4">
        <v>5.4779999999999998</v>
      </c>
      <c r="E226" s="13">
        <v>6.6909999999999998</v>
      </c>
    </row>
    <row r="227" spans="1:5" x14ac:dyDescent="0.25">
      <c r="A227" t="s">
        <v>1234</v>
      </c>
      <c r="B227" s="1" t="str">
        <f>HYPERLINK("http://www.ncbi.nlm.nih.gov/pubmed/?term=Aif1l", "Aif1l")</f>
        <v>Aif1l</v>
      </c>
      <c r="C227" s="12">
        <v>0.53910000000000002</v>
      </c>
      <c r="D227" s="22">
        <v>3.0129999999999999</v>
      </c>
      <c r="E227" s="13">
        <v>6.117</v>
      </c>
    </row>
    <row r="228" spans="1:5" x14ac:dyDescent="0.25">
      <c r="A228" t="s">
        <v>274</v>
      </c>
      <c r="B228" s="1" t="str">
        <f>HYPERLINK("http://www.ncbi.nlm.nih.gov/pubmed/?term=Stoml1", "Stoml1")</f>
        <v>Stoml1</v>
      </c>
      <c r="C228" s="20">
        <v>4.5449999999999999</v>
      </c>
      <c r="D228" s="4">
        <v>5.1769999999999996</v>
      </c>
      <c r="E228" s="13">
        <v>6.601</v>
      </c>
    </row>
    <row r="229" spans="1:5" x14ac:dyDescent="0.25">
      <c r="A229" t="s">
        <v>1426</v>
      </c>
      <c r="B229" s="1" t="str">
        <f>HYPERLINK("http://www.ncbi.nlm.nih.gov/pubmed/?term=Hamp", "Hamp")</f>
        <v>Hamp</v>
      </c>
      <c r="C229" s="12">
        <v>-1.286</v>
      </c>
      <c r="D229" s="20">
        <v>4.3659999999999997</v>
      </c>
      <c r="E229" s="13">
        <v>6.4059999999999997</v>
      </c>
    </row>
    <row r="230" spans="1:5" x14ac:dyDescent="0.25">
      <c r="A230" t="s">
        <v>1083</v>
      </c>
      <c r="B230" s="1" t="str">
        <f>HYPERLINK("http://www.ncbi.nlm.nih.gov/pubmed/?term=Pglyrp2", "Pglyrp2")</f>
        <v>Pglyrp2</v>
      </c>
      <c r="C230" s="12">
        <v>0.47160000000000002</v>
      </c>
      <c r="D230" s="22">
        <v>3.7559999999999998</v>
      </c>
      <c r="E230" s="13">
        <v>6.2629999999999999</v>
      </c>
    </row>
    <row r="231" spans="1:5" x14ac:dyDescent="0.25">
      <c r="A231" t="s">
        <v>1939</v>
      </c>
      <c r="B231" s="1" t="str">
        <f>HYPERLINK("http://www.ncbi.nlm.nih.gov/pubmed/?term=Ccr7", "Ccr7")</f>
        <v>Ccr7</v>
      </c>
      <c r="C231" s="12">
        <v>-0.63939999999999997</v>
      </c>
      <c r="D231" s="11">
        <v>1.2509999999999999</v>
      </c>
      <c r="E231" s="4">
        <v>5.681</v>
      </c>
    </row>
    <row r="232" spans="1:5" x14ac:dyDescent="0.25">
      <c r="A232" t="s">
        <v>1609</v>
      </c>
      <c r="B232" s="1" t="str">
        <f>HYPERLINK("http://www.ncbi.nlm.nih.gov/pubmed/?term=Serpinb12", "Serpinb12")</f>
        <v>Serpinb12</v>
      </c>
      <c r="C232" s="12">
        <v>-1.59</v>
      </c>
      <c r="D232" s="11">
        <v>1.9910000000000001</v>
      </c>
      <c r="E232" s="4">
        <v>5.851</v>
      </c>
    </row>
    <row r="233" spans="1:5" x14ac:dyDescent="0.25">
      <c r="A233" t="s">
        <v>1363</v>
      </c>
      <c r="B233" s="1" t="str">
        <f>HYPERLINK("http://www.ncbi.nlm.nih.gov/pubmed/?term=Tmcc3", "Tmcc3")</f>
        <v>Tmcc3</v>
      </c>
      <c r="C233" s="22">
        <v>3.613</v>
      </c>
      <c r="D233" s="20">
        <v>4.0179999999999998</v>
      </c>
      <c r="E233" s="13">
        <v>6.3170000000000002</v>
      </c>
    </row>
    <row r="234" spans="1:5" x14ac:dyDescent="0.25">
      <c r="A234" t="s">
        <v>1539</v>
      </c>
      <c r="B234" s="1" t="str">
        <f>HYPERLINK("http://www.ncbi.nlm.nih.gov/pubmed/?term=Ccnd2", "Ccnd2")</f>
        <v>Ccnd2</v>
      </c>
      <c r="C234" s="4">
        <v>5.4219999999999997</v>
      </c>
      <c r="D234" s="4">
        <v>5.4290000000000003</v>
      </c>
      <c r="E234" s="13">
        <v>6.6429999999999998</v>
      </c>
    </row>
    <row r="235" spans="1:5" x14ac:dyDescent="0.25">
      <c r="A235" t="s">
        <v>582</v>
      </c>
      <c r="B235" s="1" t="str">
        <f>HYPERLINK("http://www.ncbi.nlm.nih.gov/pubmed/?term=Slco5a1", "Slco5a1")</f>
        <v>Slco5a1</v>
      </c>
      <c r="C235" s="3">
        <v>2.3980000000000001</v>
      </c>
      <c r="D235" s="3">
        <v>2.3919999999999999</v>
      </c>
      <c r="E235" s="4">
        <v>5.9390000000000001</v>
      </c>
    </row>
    <row r="236" spans="1:5" x14ac:dyDescent="0.25">
      <c r="A236" t="s">
        <v>901</v>
      </c>
      <c r="B236" s="1" t="str">
        <f>HYPERLINK("http://www.ncbi.nlm.nih.gov/pubmed/?term=P2rx4", "P2rx4")</f>
        <v>P2rx4</v>
      </c>
      <c r="C236" s="3">
        <v>2.8740000000000001</v>
      </c>
      <c r="D236" s="22">
        <v>3.9620000000000002</v>
      </c>
      <c r="E236" s="13">
        <v>6.3</v>
      </c>
    </row>
    <row r="237" spans="1:5" x14ac:dyDescent="0.25">
      <c r="A237" t="s">
        <v>231</v>
      </c>
      <c r="B237" s="1" t="str">
        <f>HYPERLINK("http://www.ncbi.nlm.nih.gov/pubmed/?term=Prkca", "Prkca")</f>
        <v>Prkca</v>
      </c>
      <c r="C237" s="22">
        <v>3.6549999999999998</v>
      </c>
      <c r="D237" s="22">
        <v>3.3140000000000001</v>
      </c>
      <c r="E237" s="13">
        <v>6.2270000000000003</v>
      </c>
    </row>
    <row r="238" spans="1:5" x14ac:dyDescent="0.25">
      <c r="A238" t="s">
        <v>229</v>
      </c>
      <c r="B238" s="1" t="str">
        <f>HYPERLINK("http://www.ncbi.nlm.nih.gov/pubmed/?term=Rapgef1", "Rapgef1")</f>
        <v>Rapgef1</v>
      </c>
      <c r="C238" s="20">
        <v>4.3550000000000004</v>
      </c>
      <c r="D238" s="20">
        <v>4.165</v>
      </c>
      <c r="E238" s="13">
        <v>6.383</v>
      </c>
    </row>
    <row r="239" spans="1:5" x14ac:dyDescent="0.25">
      <c r="A239" t="s">
        <v>1839</v>
      </c>
      <c r="B239" s="1" t="str">
        <f>HYPERLINK("http://www.ncbi.nlm.nih.gov/pubmed/?term=Tmem158", "Tmem158")</f>
        <v>Tmem158</v>
      </c>
      <c r="C239" s="11">
        <v>1.2989999999999999</v>
      </c>
      <c r="D239" s="20">
        <v>4.3719999999999999</v>
      </c>
      <c r="E239" s="13">
        <v>6.3860000000000001</v>
      </c>
    </row>
    <row r="240" spans="1:5" x14ac:dyDescent="0.25">
      <c r="A240" t="s">
        <v>1672</v>
      </c>
      <c r="B240" s="1" t="str">
        <f>HYPERLINK("http://www.ncbi.nlm.nih.gov/pubmed/?term=9130014G24Rik", "9130014G24Rik")</f>
        <v>9130014G24Rik</v>
      </c>
      <c r="C240" s="12">
        <v>-2.4710000000000001</v>
      </c>
      <c r="D240" s="3">
        <v>2.2909999999999999</v>
      </c>
      <c r="E240" s="4">
        <v>5.9029999999999996</v>
      </c>
    </row>
    <row r="241" spans="1:5" x14ac:dyDescent="0.25">
      <c r="A241" t="s">
        <v>2069</v>
      </c>
      <c r="B241" s="1" t="str">
        <f>HYPERLINK("http://www.ncbi.nlm.nih.gov/pubmed/?term=Snx10", "Snx10")</f>
        <v>Snx10</v>
      </c>
      <c r="C241" s="20">
        <v>4.3390000000000004</v>
      </c>
      <c r="D241" s="20">
        <v>4.4980000000000002</v>
      </c>
      <c r="E241" s="13">
        <v>6.4080000000000004</v>
      </c>
    </row>
    <row r="242" spans="1:5" x14ac:dyDescent="0.25">
      <c r="A242" t="s">
        <v>887</v>
      </c>
      <c r="B242" s="1" t="str">
        <f>HYPERLINK("http://www.ncbi.nlm.nih.gov/pubmed/?term=Casp1", "Casp1")</f>
        <v>Casp1</v>
      </c>
      <c r="C242" s="3">
        <v>2.6869999999999998</v>
      </c>
      <c r="D242" s="20">
        <v>4.8470000000000004</v>
      </c>
      <c r="E242" s="13">
        <v>6.4870000000000001</v>
      </c>
    </row>
    <row r="243" spans="1:5" x14ac:dyDescent="0.25">
      <c r="A243" t="s">
        <v>2061</v>
      </c>
      <c r="B243" s="1" t="str">
        <f>HYPERLINK("http://www.ncbi.nlm.nih.gov/pubmed/?term=Cd70", "Cd70")</f>
        <v>Cd70</v>
      </c>
      <c r="C243" s="12">
        <v>-1.423</v>
      </c>
      <c r="D243" s="11">
        <v>1.208</v>
      </c>
      <c r="E243" s="4">
        <v>5.6420000000000003</v>
      </c>
    </row>
    <row r="244" spans="1:5" x14ac:dyDescent="0.25">
      <c r="A244" t="s">
        <v>1821</v>
      </c>
      <c r="B244" s="1" t="str">
        <f>HYPERLINK("http://www.ncbi.nlm.nih.gov/pubmed/?term=Nup85", "Nup85")</f>
        <v>Nup85</v>
      </c>
      <c r="C244" s="4">
        <v>5.0609999999999999</v>
      </c>
      <c r="D244" s="20">
        <v>4.875</v>
      </c>
      <c r="E244" s="13">
        <v>6.5259999999999998</v>
      </c>
    </row>
    <row r="245" spans="1:5" x14ac:dyDescent="0.25">
      <c r="A245" t="s">
        <v>1778</v>
      </c>
      <c r="B245" s="1" t="str">
        <f>HYPERLINK("http://www.ncbi.nlm.nih.gov/pubmed/?term=Tnfrsf9", "Tnfrsf9")</f>
        <v>Tnfrsf9</v>
      </c>
      <c r="C245" s="12">
        <v>-2.0459999999999998</v>
      </c>
      <c r="D245" s="11">
        <v>1.5620000000000001</v>
      </c>
      <c r="E245" s="4">
        <v>5.7089999999999996</v>
      </c>
    </row>
    <row r="246" spans="1:5" x14ac:dyDescent="0.25">
      <c r="A246" t="s">
        <v>1568</v>
      </c>
      <c r="B246" s="1" t="str">
        <f>HYPERLINK("http://www.ncbi.nlm.nih.gov/pubmed/?term=Net1", "Net1")</f>
        <v>Net1</v>
      </c>
      <c r="C246" s="4">
        <v>5.55</v>
      </c>
      <c r="D246" s="4">
        <v>5.5810000000000004</v>
      </c>
      <c r="E246" s="13">
        <v>6.6189999999999998</v>
      </c>
    </row>
    <row r="247" spans="1:5" x14ac:dyDescent="0.25">
      <c r="A247" t="s">
        <v>1334</v>
      </c>
      <c r="B247" s="1" t="str">
        <f>HYPERLINK("http://www.ncbi.nlm.nih.gov/pubmed/?term=Wbp2", "Wbp2")</f>
        <v>Wbp2</v>
      </c>
      <c r="C247" s="4">
        <v>5.6260000000000003</v>
      </c>
      <c r="D247" s="4">
        <v>5.5419999999999998</v>
      </c>
      <c r="E247" s="13">
        <v>6.6260000000000003</v>
      </c>
    </row>
    <row r="248" spans="1:5" x14ac:dyDescent="0.25">
      <c r="A248" t="s">
        <v>663</v>
      </c>
      <c r="B248" s="1" t="str">
        <f>HYPERLINK("http://www.ncbi.nlm.nih.gov/pubmed/?term=Far1", "Far1")</f>
        <v>Far1</v>
      </c>
      <c r="C248" s="20">
        <v>4.1269999999999998</v>
      </c>
      <c r="D248" s="20">
        <v>4.4660000000000002</v>
      </c>
      <c r="E248" s="13">
        <v>6.33</v>
      </c>
    </row>
    <row r="249" spans="1:5" x14ac:dyDescent="0.25">
      <c r="A249" t="s">
        <v>1687</v>
      </c>
      <c r="B249" s="1" t="str">
        <f>HYPERLINK("http://www.ncbi.nlm.nih.gov/pubmed/?term=Hyou1", "Hyou1")</f>
        <v>Hyou1</v>
      </c>
      <c r="C249" s="4">
        <v>5.0670000000000002</v>
      </c>
      <c r="D249" s="4">
        <v>5.3120000000000003</v>
      </c>
      <c r="E249" s="13">
        <v>6.5250000000000004</v>
      </c>
    </row>
    <row r="250" spans="1:5" x14ac:dyDescent="0.25">
      <c r="A250" t="s">
        <v>1399</v>
      </c>
      <c r="B250" s="1" t="str">
        <f>HYPERLINK("http://www.ncbi.nlm.nih.gov/pubmed/?term=Skint4", "Skint4")</f>
        <v>Skint4</v>
      </c>
      <c r="C250" s="12">
        <v>0.4723</v>
      </c>
      <c r="D250" s="22">
        <v>3.7050000000000001</v>
      </c>
      <c r="E250" s="13">
        <v>6.149</v>
      </c>
    </row>
    <row r="251" spans="1:5" x14ac:dyDescent="0.25">
      <c r="A251" t="s">
        <v>1378</v>
      </c>
      <c r="B251" s="1" t="str">
        <f>HYPERLINK("http://www.ncbi.nlm.nih.gov/pubmed/?term=Mxd1", "Mxd1")</f>
        <v>Mxd1</v>
      </c>
      <c r="C251" s="11">
        <v>1.419</v>
      </c>
      <c r="D251" s="22">
        <v>3.9350000000000001</v>
      </c>
      <c r="E251" s="13">
        <v>6.202</v>
      </c>
    </row>
    <row r="252" spans="1:5" x14ac:dyDescent="0.25">
      <c r="A252" t="s">
        <v>1995</v>
      </c>
      <c r="B252" s="1" t="str">
        <f>HYPERLINK("http://www.ncbi.nlm.nih.gov/pubmed/?term=Abcc1", "Abcc1")</f>
        <v>Abcc1</v>
      </c>
      <c r="C252" s="22">
        <v>3.6579999999999999</v>
      </c>
      <c r="D252" s="20">
        <v>4.9470000000000001</v>
      </c>
      <c r="E252" s="13">
        <v>6.4359999999999999</v>
      </c>
    </row>
    <row r="253" spans="1:5" x14ac:dyDescent="0.25">
      <c r="A253" t="s">
        <v>382</v>
      </c>
      <c r="B253" s="1" t="str">
        <f>HYPERLINK("http://www.ncbi.nlm.nih.gov/pubmed/?term=Stat5a", "Stat5a")</f>
        <v>Stat5a</v>
      </c>
      <c r="C253" s="3">
        <v>2.3450000000000002</v>
      </c>
      <c r="D253" s="4">
        <v>5.5529999999999999</v>
      </c>
      <c r="E253" s="13">
        <v>6.5759999999999996</v>
      </c>
    </row>
    <row r="254" spans="1:5" x14ac:dyDescent="0.25">
      <c r="A254" t="s">
        <v>638</v>
      </c>
      <c r="B254" s="1" t="str">
        <f>HYPERLINK("http://www.ncbi.nlm.nih.gov/pubmed/?term=Psors1c2", "Psors1c2")</f>
        <v>Psors1c2</v>
      </c>
      <c r="C254" s="12">
        <v>-0.63939999999999997</v>
      </c>
      <c r="D254" s="11">
        <v>1.7450000000000001</v>
      </c>
      <c r="E254" s="4">
        <v>5.6920000000000002</v>
      </c>
    </row>
    <row r="255" spans="1:5" x14ac:dyDescent="0.25">
      <c r="A255" t="s">
        <v>859</v>
      </c>
      <c r="B255" s="1" t="str">
        <f>HYPERLINK("http://www.ncbi.nlm.nih.gov/pubmed/?term=Kndc1", "Kndc1")</f>
        <v>Kndc1</v>
      </c>
      <c r="C255" s="3">
        <v>2.7450000000000001</v>
      </c>
      <c r="D255" s="20">
        <v>4.2729999999999997</v>
      </c>
      <c r="E255" s="13">
        <v>6.2759999999999998</v>
      </c>
    </row>
    <row r="256" spans="1:5" x14ac:dyDescent="0.25">
      <c r="A256" t="s">
        <v>2065</v>
      </c>
      <c r="B256" s="1" t="str">
        <f>HYPERLINK("http://www.ncbi.nlm.nih.gov/pubmed/?term=Tmem19", "Tmem19")</f>
        <v>Tmem19</v>
      </c>
      <c r="C256" s="22">
        <v>3.2170000000000001</v>
      </c>
      <c r="D256" s="20">
        <v>4.21</v>
      </c>
      <c r="E256" s="13">
        <v>6.2590000000000003</v>
      </c>
    </row>
    <row r="257" spans="1:5" x14ac:dyDescent="0.25">
      <c r="A257" t="s">
        <v>547</v>
      </c>
      <c r="B257" s="1" t="str">
        <f>HYPERLINK("http://www.ncbi.nlm.nih.gov/pubmed/?term=Gda", "Gda")</f>
        <v>Gda</v>
      </c>
      <c r="C257" s="12">
        <v>-1.177</v>
      </c>
      <c r="D257" s="22">
        <v>3.7450000000000001</v>
      </c>
      <c r="E257" s="13">
        <v>6.1470000000000002</v>
      </c>
    </row>
    <row r="258" spans="1:5" x14ac:dyDescent="0.25">
      <c r="A258" t="s">
        <v>1401</v>
      </c>
      <c r="B258" s="1" t="str">
        <f>HYPERLINK("http://www.ncbi.nlm.nih.gov/pubmed/?term=Fnbp1l", "Fnbp1l")</f>
        <v>Fnbp1l</v>
      </c>
      <c r="C258" s="4">
        <v>5.343</v>
      </c>
      <c r="D258" s="4">
        <v>5.4530000000000003</v>
      </c>
      <c r="E258" s="13">
        <v>6.5359999999999996</v>
      </c>
    </row>
    <row r="259" spans="1:5" x14ac:dyDescent="0.25">
      <c r="A259" t="s">
        <v>1663</v>
      </c>
      <c r="B259" s="1" t="str">
        <f>HYPERLINK("http://www.ncbi.nlm.nih.gov/pubmed/?term=Btnl1", "Btnl1")</f>
        <v>Btnl1</v>
      </c>
      <c r="C259" s="12">
        <v>-3.45</v>
      </c>
      <c r="D259" s="12">
        <v>0.18529999999999999</v>
      </c>
      <c r="E259" s="4">
        <v>5.3170000000000002</v>
      </c>
    </row>
    <row r="260" spans="1:5" x14ac:dyDescent="0.25">
      <c r="A260" t="s">
        <v>1101</v>
      </c>
      <c r="B260" s="1" t="str">
        <f>HYPERLINK("http://www.ncbi.nlm.nih.gov/pubmed/?term=Irf5", "Irf5")</f>
        <v>Irf5</v>
      </c>
      <c r="C260" s="12">
        <v>0.2482</v>
      </c>
      <c r="D260" s="3">
        <v>2.782</v>
      </c>
      <c r="E260" s="4">
        <v>5.907</v>
      </c>
    </row>
    <row r="261" spans="1:5" x14ac:dyDescent="0.25">
      <c r="A261" t="s">
        <v>1908</v>
      </c>
      <c r="B261" s="1" t="str">
        <f>HYPERLINK("http://www.ncbi.nlm.nih.gov/pubmed/?term=Kynu", "Kynu")</f>
        <v>Kynu</v>
      </c>
      <c r="C261" s="12">
        <v>-2.8279999999999998</v>
      </c>
      <c r="D261" s="11">
        <v>1.478</v>
      </c>
      <c r="E261" s="4">
        <v>5.6040000000000001</v>
      </c>
    </row>
    <row r="262" spans="1:5" x14ac:dyDescent="0.25">
      <c r="A262" t="s">
        <v>164</v>
      </c>
      <c r="B262" s="1" t="str">
        <f>HYPERLINK("http://www.ncbi.nlm.nih.gov/pubmed/?term=Iglc3", "Iglc3")</f>
        <v>Iglc3</v>
      </c>
      <c r="C262" s="12">
        <v>-3.3279999999999998</v>
      </c>
      <c r="D262" s="3">
        <v>2.6110000000000002</v>
      </c>
      <c r="E262" s="4">
        <v>5.8620000000000001</v>
      </c>
    </row>
    <row r="263" spans="1:5" x14ac:dyDescent="0.25">
      <c r="A263" t="s">
        <v>1976</v>
      </c>
      <c r="B263" s="1" t="str">
        <f>HYPERLINK("http://www.ncbi.nlm.nih.gov/pubmed/?term=Cds2", "Cds2")</f>
        <v>Cds2</v>
      </c>
      <c r="C263" s="20">
        <v>4.2009999999999996</v>
      </c>
      <c r="D263" s="20">
        <v>4.0860000000000003</v>
      </c>
      <c r="E263" s="13">
        <v>6.2290000000000001</v>
      </c>
    </row>
    <row r="264" spans="1:5" x14ac:dyDescent="0.25">
      <c r="A264" t="s">
        <v>744</v>
      </c>
      <c r="B264" s="1" t="str">
        <f>HYPERLINK("http://www.ncbi.nlm.nih.gov/pubmed/?term=Tbc1d8", "Tbc1d8")</f>
        <v>Tbc1d8</v>
      </c>
      <c r="C264" s="22">
        <v>3.0110000000000001</v>
      </c>
      <c r="D264" s="20">
        <v>4.6909999999999998</v>
      </c>
      <c r="E264" s="13">
        <v>6.3319999999999999</v>
      </c>
    </row>
    <row r="265" spans="1:5" x14ac:dyDescent="0.25">
      <c r="A265" t="s">
        <v>1914</v>
      </c>
      <c r="B265" s="1" t="str">
        <f>HYPERLINK("http://www.ncbi.nlm.nih.gov/pubmed/?term=Nfkbie", "Nfkbie")</f>
        <v>Nfkbie</v>
      </c>
      <c r="C265" s="4">
        <v>5.2140000000000004</v>
      </c>
      <c r="D265" s="4">
        <v>5.157</v>
      </c>
      <c r="E265" s="13">
        <v>6.4509999999999996</v>
      </c>
    </row>
    <row r="266" spans="1:5" x14ac:dyDescent="0.25">
      <c r="A266" t="s">
        <v>500</v>
      </c>
      <c r="B266" s="1" t="str">
        <f>HYPERLINK("http://www.ncbi.nlm.nih.gov/pubmed/?term=Plagl1", "Plagl1")</f>
        <v>Plagl1</v>
      </c>
      <c r="C266" s="3">
        <v>2.1379999999999999</v>
      </c>
      <c r="D266" s="20">
        <v>4.4000000000000004</v>
      </c>
      <c r="E266" s="13">
        <v>6.2610000000000001</v>
      </c>
    </row>
    <row r="267" spans="1:5" x14ac:dyDescent="0.25">
      <c r="A267" t="s">
        <v>971</v>
      </c>
      <c r="B267" s="1" t="str">
        <f>HYPERLINK("http://www.ncbi.nlm.nih.gov/pubmed/?term=Tnfaip8", "Tnfaip8")</f>
        <v>Tnfaip8</v>
      </c>
      <c r="C267" s="20">
        <v>4.0960000000000001</v>
      </c>
      <c r="D267" s="4">
        <v>5.31</v>
      </c>
      <c r="E267" s="13">
        <v>6.4690000000000003</v>
      </c>
    </row>
    <row r="268" spans="1:5" x14ac:dyDescent="0.25">
      <c r="A268" t="s">
        <v>1425</v>
      </c>
      <c r="B268" s="1" t="str">
        <f>HYPERLINK("http://www.ncbi.nlm.nih.gov/pubmed/?term=Agap3", "Agap3")</f>
        <v>Agap3</v>
      </c>
      <c r="C268" s="4">
        <v>5.26</v>
      </c>
      <c r="D268" s="4">
        <v>5.3529999999999998</v>
      </c>
      <c r="E268" s="13">
        <v>6.476</v>
      </c>
    </row>
    <row r="269" spans="1:5" x14ac:dyDescent="0.25">
      <c r="A269" t="s">
        <v>800</v>
      </c>
      <c r="B269" s="1" t="str">
        <f>HYPERLINK("http://www.ncbi.nlm.nih.gov/pubmed/?term=Ptpn1", "Ptpn1")</f>
        <v>Ptpn1</v>
      </c>
      <c r="C269" s="20">
        <v>4.1059999999999999</v>
      </c>
      <c r="D269" s="4">
        <v>5.2510000000000003</v>
      </c>
      <c r="E269" s="13">
        <v>6.45</v>
      </c>
    </row>
    <row r="270" spans="1:5" x14ac:dyDescent="0.25">
      <c r="A270" t="s">
        <v>203</v>
      </c>
      <c r="B270" s="1" t="str">
        <f>HYPERLINK("http://www.ncbi.nlm.nih.gov/pubmed/?term=Rftn1", "Rftn1")</f>
        <v>Rftn1</v>
      </c>
      <c r="C270" s="3">
        <v>2.1230000000000002</v>
      </c>
      <c r="D270" s="3">
        <v>2.8159999999999998</v>
      </c>
      <c r="E270" s="4">
        <v>5.8739999999999997</v>
      </c>
    </row>
    <row r="271" spans="1:5" x14ac:dyDescent="0.25">
      <c r="A271" t="s">
        <v>1258</v>
      </c>
      <c r="B271" s="1" t="str">
        <f>HYPERLINK("http://www.ncbi.nlm.nih.gov/pubmed/?term=Gcap14", "Gcap14")</f>
        <v>Gcap14</v>
      </c>
      <c r="C271" s="20">
        <v>4.2619999999999996</v>
      </c>
      <c r="D271" s="4">
        <v>5.2690000000000001</v>
      </c>
      <c r="E271" s="13">
        <v>6.4390000000000001</v>
      </c>
    </row>
    <row r="272" spans="1:5" x14ac:dyDescent="0.25">
      <c r="A272" t="s">
        <v>23</v>
      </c>
      <c r="B272" s="1" t="str">
        <f>HYPERLINK("http://www.ncbi.nlm.nih.gov/pubmed/?term=Serpinb9", "Serpinb9")</f>
        <v>Serpinb9</v>
      </c>
      <c r="C272" s="22">
        <v>3.258</v>
      </c>
      <c r="D272" s="20">
        <v>4.2770000000000001</v>
      </c>
      <c r="E272" s="13">
        <v>6.2089999999999996</v>
      </c>
    </row>
    <row r="273" spans="1:5" x14ac:dyDescent="0.25">
      <c r="A273" t="s">
        <v>1940</v>
      </c>
      <c r="B273" s="1" t="str">
        <f>HYPERLINK("http://www.ncbi.nlm.nih.gov/pubmed/?term=Usp15", "Usp15")</f>
        <v>Usp15</v>
      </c>
      <c r="C273" s="4">
        <v>5.4160000000000004</v>
      </c>
      <c r="D273" s="20">
        <v>4.7240000000000002</v>
      </c>
      <c r="E273" s="13">
        <v>6.4710000000000001</v>
      </c>
    </row>
    <row r="274" spans="1:5" x14ac:dyDescent="0.25">
      <c r="A274" t="s">
        <v>1430</v>
      </c>
      <c r="B274" s="1" t="str">
        <f>HYPERLINK("http://www.ncbi.nlm.nih.gov/pubmed/?term=Slc43a3", "Slc43a3")</f>
        <v>Slc43a3</v>
      </c>
      <c r="C274" s="3">
        <v>2.2109999999999999</v>
      </c>
      <c r="D274" s="3">
        <v>2.9039999999999999</v>
      </c>
      <c r="E274" s="4">
        <v>5.8860000000000001</v>
      </c>
    </row>
    <row r="275" spans="1:5" x14ac:dyDescent="0.25">
      <c r="A275" t="s">
        <v>1650</v>
      </c>
      <c r="B275" s="1" t="str">
        <f>HYPERLINK("http://www.ncbi.nlm.nih.gov/pubmed/?term=Cldn7", "Cldn7")</f>
        <v>Cldn7</v>
      </c>
      <c r="C275" s="12">
        <v>-0.63449999999999995</v>
      </c>
      <c r="D275" s="4">
        <v>5.0510000000000002</v>
      </c>
      <c r="E275" s="13">
        <v>6.3819999999999997</v>
      </c>
    </row>
    <row r="276" spans="1:5" x14ac:dyDescent="0.25">
      <c r="A276" t="s">
        <v>1183</v>
      </c>
      <c r="B276" s="1" t="str">
        <f>HYPERLINK("http://www.ncbi.nlm.nih.gov/pubmed/?term=Exoc2", "Exoc2")</f>
        <v>Exoc2</v>
      </c>
      <c r="C276" s="22">
        <v>3.7949999999999999</v>
      </c>
      <c r="D276" s="20">
        <v>4.1289999999999996</v>
      </c>
      <c r="E276" s="13">
        <v>6.1619999999999999</v>
      </c>
    </row>
    <row r="277" spans="1:5" x14ac:dyDescent="0.25">
      <c r="A277" t="s">
        <v>965</v>
      </c>
      <c r="B277" s="1" t="str">
        <f>HYPERLINK("http://www.ncbi.nlm.nih.gov/pubmed/?term=Tm4sf5", "Tm4sf5")</f>
        <v>Tm4sf5</v>
      </c>
      <c r="C277" s="12">
        <v>-0.90590000000000004</v>
      </c>
      <c r="D277" s="3">
        <v>2.2890000000000001</v>
      </c>
      <c r="E277" s="4">
        <v>5.7110000000000003</v>
      </c>
    </row>
    <row r="278" spans="1:5" x14ac:dyDescent="0.25">
      <c r="A278" t="s">
        <v>633</v>
      </c>
      <c r="B278" s="1" t="str">
        <f>HYPERLINK("http://www.ncbi.nlm.nih.gov/pubmed/?term=Psme2", "Psme2")</f>
        <v>Psme2</v>
      </c>
      <c r="C278" s="20">
        <v>4.7190000000000003</v>
      </c>
      <c r="D278" s="4">
        <v>5.1440000000000001</v>
      </c>
      <c r="E278" s="13">
        <v>6.3719999999999999</v>
      </c>
    </row>
    <row r="279" spans="1:5" x14ac:dyDescent="0.25">
      <c r="A279" t="s">
        <v>1526</v>
      </c>
      <c r="B279" s="1" t="str">
        <f>HYPERLINK("http://www.ncbi.nlm.nih.gov/pubmed/?term=Htr7", "Htr7")</f>
        <v>Htr7</v>
      </c>
      <c r="C279" s="12">
        <v>4.2590000000000003E-2</v>
      </c>
      <c r="D279" s="20">
        <v>4.2629999999999999</v>
      </c>
      <c r="E279" s="13">
        <v>6.1630000000000003</v>
      </c>
    </row>
    <row r="280" spans="1:5" x14ac:dyDescent="0.25">
      <c r="A280" t="s">
        <v>634</v>
      </c>
      <c r="B280" s="1" t="str">
        <f>HYPERLINK("http://www.ncbi.nlm.nih.gov/pubmed/?term=Supt4h1", "Supt4h1")</f>
        <v>Supt4h1</v>
      </c>
      <c r="C280" s="4">
        <v>5.2110000000000003</v>
      </c>
      <c r="D280" s="4">
        <v>5.3849999999999998</v>
      </c>
      <c r="E280" s="13">
        <v>6.423</v>
      </c>
    </row>
    <row r="281" spans="1:5" x14ac:dyDescent="0.25">
      <c r="A281" t="s">
        <v>575</v>
      </c>
      <c r="B281" s="1" t="str">
        <f>HYPERLINK("http://www.ncbi.nlm.nih.gov/pubmed/?term=Ctla4", "Ctla4")</f>
        <v>Ctla4</v>
      </c>
      <c r="C281" s="12">
        <v>-0.22</v>
      </c>
      <c r="D281" s="12">
        <v>-1.9410000000000001</v>
      </c>
      <c r="E281" s="4">
        <v>5.1689999999999996</v>
      </c>
    </row>
    <row r="282" spans="1:5" x14ac:dyDescent="0.25">
      <c r="A282" t="s">
        <v>137</v>
      </c>
      <c r="B282" s="1" t="str">
        <f>HYPERLINK("http://www.ncbi.nlm.nih.gov/pubmed/?term=Fermt1", "Fermt1")</f>
        <v>Fermt1</v>
      </c>
      <c r="C282" s="20">
        <v>4.2409999999999997</v>
      </c>
      <c r="D282" s="22">
        <v>3.9540000000000002</v>
      </c>
      <c r="E282" s="13">
        <v>6.149</v>
      </c>
    </row>
    <row r="283" spans="1:5" x14ac:dyDescent="0.25">
      <c r="A283" t="s">
        <v>659</v>
      </c>
      <c r="B283" s="1" t="str">
        <f>HYPERLINK("http://www.ncbi.nlm.nih.gov/pubmed/?term=Gdf15", "Gdf15")</f>
        <v>Gdf15</v>
      </c>
      <c r="C283" s="12">
        <v>-3.7160000000000002</v>
      </c>
      <c r="D283" s="12">
        <v>0.93400000000000005</v>
      </c>
      <c r="E283" s="4">
        <v>5.3769999999999998</v>
      </c>
    </row>
    <row r="284" spans="1:5" x14ac:dyDescent="0.25">
      <c r="A284" t="s">
        <v>1829</v>
      </c>
      <c r="B284" s="1" t="str">
        <f>HYPERLINK("http://www.ncbi.nlm.nih.gov/pubmed/?term=Resp18", "Resp18")</f>
        <v>Resp18</v>
      </c>
      <c r="C284" s="12">
        <v>-1.782</v>
      </c>
      <c r="D284" s="20">
        <v>4.6399999999999997</v>
      </c>
      <c r="E284" s="13">
        <v>6.2270000000000003</v>
      </c>
    </row>
    <row r="285" spans="1:5" x14ac:dyDescent="0.25">
      <c r="A285" t="s">
        <v>518</v>
      </c>
      <c r="B285" s="1" t="str">
        <f>HYPERLINK("http://www.ncbi.nlm.nih.gov/pubmed/?term=Prex1", "Prex1")</f>
        <v>Prex1</v>
      </c>
      <c r="C285" s="11">
        <v>1.8320000000000001</v>
      </c>
      <c r="D285" s="11">
        <v>1.323</v>
      </c>
      <c r="E285" s="4">
        <v>5.57</v>
      </c>
    </row>
    <row r="286" spans="1:5" x14ac:dyDescent="0.25">
      <c r="A286" t="s">
        <v>1169</v>
      </c>
      <c r="B286" s="1" t="str">
        <f>HYPERLINK("http://www.ncbi.nlm.nih.gov/pubmed/?term=Mrpl13", "Mrpl13")</f>
        <v>Mrpl13</v>
      </c>
      <c r="C286" s="20">
        <v>4.7130000000000001</v>
      </c>
      <c r="D286" s="20">
        <v>4.2300000000000004</v>
      </c>
      <c r="E286" s="13">
        <v>6.2279999999999998</v>
      </c>
    </row>
    <row r="287" spans="1:5" x14ac:dyDescent="0.25">
      <c r="A287" t="s">
        <v>941</v>
      </c>
      <c r="B287" s="1" t="str">
        <f>HYPERLINK("http://www.ncbi.nlm.nih.gov/pubmed/?term=Fas", "Fas")</f>
        <v>Fas</v>
      </c>
      <c r="C287" s="3">
        <v>2.4039999999999999</v>
      </c>
      <c r="D287" s="20">
        <v>4.0590000000000002</v>
      </c>
      <c r="E287" s="13">
        <v>6.069</v>
      </c>
    </row>
    <row r="288" spans="1:5" x14ac:dyDescent="0.25">
      <c r="A288" t="s">
        <v>928</v>
      </c>
      <c r="B288" s="1" t="str">
        <f>HYPERLINK("http://www.ncbi.nlm.nih.gov/pubmed/?term=Sdhaf1", "Sdhaf1")</f>
        <v>Sdhaf1</v>
      </c>
      <c r="C288" s="22">
        <v>3.371</v>
      </c>
      <c r="D288" s="22">
        <v>3.9990000000000001</v>
      </c>
      <c r="E288" s="13">
        <v>6.048</v>
      </c>
    </row>
    <row r="289" spans="1:5" x14ac:dyDescent="0.25">
      <c r="A289" t="s">
        <v>1405</v>
      </c>
      <c r="B289" s="1" t="str">
        <f>HYPERLINK("http://www.ncbi.nlm.nih.gov/pubmed/?term=Ralgapa2", "Ralgapa2")</f>
        <v>Ralgapa2</v>
      </c>
      <c r="C289" s="12">
        <v>0.93169999999999997</v>
      </c>
      <c r="D289" s="22">
        <v>3.0459999999999998</v>
      </c>
      <c r="E289" s="4">
        <v>5.8259999999999996</v>
      </c>
    </row>
    <row r="290" spans="1:5" x14ac:dyDescent="0.25">
      <c r="A290" t="s">
        <v>1582</v>
      </c>
      <c r="B290" s="1" t="str">
        <f>HYPERLINK("http://www.ncbi.nlm.nih.gov/pubmed/?term=Sdf2l1", "Sdf2l1")</f>
        <v>Sdf2l1</v>
      </c>
      <c r="C290" s="22">
        <v>3.3479999999999999</v>
      </c>
      <c r="D290" s="22">
        <v>3.9969999999999999</v>
      </c>
      <c r="E290" s="13">
        <v>6.0419999999999998</v>
      </c>
    </row>
    <row r="291" spans="1:5" x14ac:dyDescent="0.25">
      <c r="A291" t="s">
        <v>1967</v>
      </c>
      <c r="B291" s="1" t="str">
        <f>HYPERLINK("http://www.ncbi.nlm.nih.gov/pubmed/?term=Etv6", "Etv6")</f>
        <v>Etv6</v>
      </c>
      <c r="C291" s="20">
        <v>4.6159999999999997</v>
      </c>
      <c r="D291" s="20">
        <v>4.9969999999999999</v>
      </c>
      <c r="E291" s="13">
        <v>6.2729999999999997</v>
      </c>
    </row>
    <row r="292" spans="1:5" x14ac:dyDescent="0.25">
      <c r="A292" t="s">
        <v>1327</v>
      </c>
      <c r="B292" s="1" t="str">
        <f>HYPERLINK("http://www.ncbi.nlm.nih.gov/pubmed/?term=Eps15", "Eps15")</f>
        <v>Eps15</v>
      </c>
      <c r="C292" s="4">
        <v>5.1420000000000003</v>
      </c>
      <c r="D292" s="20">
        <v>4.9880000000000004</v>
      </c>
      <c r="E292" s="13">
        <v>6.298</v>
      </c>
    </row>
    <row r="293" spans="1:5" x14ac:dyDescent="0.25">
      <c r="A293" t="s">
        <v>1002</v>
      </c>
      <c r="B293" s="1" t="str">
        <f>HYPERLINK("http://www.ncbi.nlm.nih.gov/pubmed/?term=Pcp4l1", "Pcp4l1")</f>
        <v>Pcp4l1</v>
      </c>
      <c r="C293" s="12">
        <v>-2.5870000000000002</v>
      </c>
      <c r="D293" s="11">
        <v>1.9279999999999999</v>
      </c>
      <c r="E293" s="4">
        <v>5.5519999999999996</v>
      </c>
    </row>
    <row r="294" spans="1:5" x14ac:dyDescent="0.25">
      <c r="A294" t="s">
        <v>489</v>
      </c>
      <c r="B294" s="1" t="str">
        <f>HYPERLINK("http://www.ncbi.nlm.nih.gov/pubmed/?term=Rprm", "Rprm")</f>
        <v>Rprm</v>
      </c>
      <c r="C294" s="12">
        <v>-2.351</v>
      </c>
      <c r="D294" s="12">
        <v>0.59499999999999997</v>
      </c>
      <c r="E294" s="4">
        <v>5.242</v>
      </c>
    </row>
    <row r="295" spans="1:5" x14ac:dyDescent="0.25">
      <c r="A295" t="s">
        <v>422</v>
      </c>
      <c r="B295" s="1" t="str">
        <f>HYPERLINK("http://www.ncbi.nlm.nih.gov/pubmed/?term=Tmem18", "Tmem18")</f>
        <v>Tmem18</v>
      </c>
      <c r="C295" s="3">
        <v>2.8660000000000001</v>
      </c>
      <c r="D295" s="22">
        <v>3.6120000000000001</v>
      </c>
      <c r="E295" s="4">
        <v>5.94</v>
      </c>
    </row>
    <row r="296" spans="1:5" x14ac:dyDescent="0.25">
      <c r="A296" t="s">
        <v>1274</v>
      </c>
      <c r="B296" s="1" t="str">
        <f>HYPERLINK("http://www.ncbi.nlm.nih.gov/pubmed/?term=Ikbkb", "Ikbkb")</f>
        <v>Ikbkb</v>
      </c>
      <c r="C296" s="20">
        <v>4.5460000000000003</v>
      </c>
      <c r="D296" s="20">
        <v>4.9820000000000002</v>
      </c>
      <c r="E296" s="13">
        <v>6.2560000000000002</v>
      </c>
    </row>
    <row r="297" spans="1:5" x14ac:dyDescent="0.25">
      <c r="A297" t="s">
        <v>152</v>
      </c>
      <c r="B297" s="1" t="str">
        <f>HYPERLINK("http://www.ncbi.nlm.nih.gov/pubmed/?term=Gbp8", "Gbp8")</f>
        <v>Gbp8</v>
      </c>
      <c r="C297" s="22">
        <v>3.161</v>
      </c>
      <c r="D297" s="22">
        <v>3.7410000000000001</v>
      </c>
      <c r="E297" s="4">
        <v>5.968</v>
      </c>
    </row>
    <row r="298" spans="1:5" x14ac:dyDescent="0.25">
      <c r="A298" t="s">
        <v>853</v>
      </c>
      <c r="B298" s="1" t="str">
        <f>HYPERLINK("http://www.ncbi.nlm.nih.gov/pubmed/?term=Cflar", "Cflar")</f>
        <v>Cflar</v>
      </c>
      <c r="C298" s="20">
        <v>4.7640000000000002</v>
      </c>
      <c r="D298" s="20">
        <v>4.665</v>
      </c>
      <c r="E298" s="13">
        <v>6.202</v>
      </c>
    </row>
    <row r="299" spans="1:5" x14ac:dyDescent="0.25">
      <c r="A299" t="s">
        <v>257</v>
      </c>
      <c r="B299" s="1" t="str">
        <f>HYPERLINK("http://www.ncbi.nlm.nih.gov/pubmed/?term=Yipf1", "Yipf1")</f>
        <v>Yipf1</v>
      </c>
      <c r="C299" s="22">
        <v>3.931</v>
      </c>
      <c r="D299" s="20">
        <v>4.9379999999999997</v>
      </c>
      <c r="E299" s="13">
        <v>6.242</v>
      </c>
    </row>
    <row r="300" spans="1:5" x14ac:dyDescent="0.25">
      <c r="A300" t="s">
        <v>874</v>
      </c>
      <c r="B300" s="1" t="str">
        <f>HYPERLINK("http://www.ncbi.nlm.nih.gov/pubmed/?term=Spock1", "Spock1")</f>
        <v>Spock1</v>
      </c>
      <c r="C300" s="12">
        <v>-1.7470000000000001</v>
      </c>
      <c r="D300" s="3">
        <v>2.1059999999999999</v>
      </c>
      <c r="E300" s="4">
        <v>5.58</v>
      </c>
    </row>
    <row r="301" spans="1:5" x14ac:dyDescent="0.25">
      <c r="A301" t="s">
        <v>1201</v>
      </c>
      <c r="B301" s="1" t="str">
        <f>HYPERLINK("http://www.ncbi.nlm.nih.gov/pubmed/?term=Cd2bp2", "Cd2bp2")</f>
        <v>Cd2bp2</v>
      </c>
      <c r="C301" s="20">
        <v>4.51</v>
      </c>
      <c r="D301" s="4">
        <v>5.0339999999999998</v>
      </c>
      <c r="E301" s="13">
        <v>6.2569999999999997</v>
      </c>
    </row>
    <row r="302" spans="1:5" x14ac:dyDescent="0.25">
      <c r="A302" t="s">
        <v>359</v>
      </c>
      <c r="B302" s="1" t="str">
        <f>HYPERLINK("http://www.ncbi.nlm.nih.gov/pubmed/?term=Prdx3", "Prdx3")</f>
        <v>Prdx3</v>
      </c>
      <c r="C302" s="4">
        <v>5.0490000000000004</v>
      </c>
      <c r="D302" s="20">
        <v>4.8259999999999996</v>
      </c>
      <c r="E302" s="13">
        <v>6.2539999999999996</v>
      </c>
    </row>
    <row r="303" spans="1:5" x14ac:dyDescent="0.25">
      <c r="A303" t="s">
        <v>873</v>
      </c>
      <c r="B303" s="1" t="str">
        <f>HYPERLINK("http://www.ncbi.nlm.nih.gov/pubmed/?term=Pla2g4a", "Pla2g4a")</f>
        <v>Pla2g4a</v>
      </c>
      <c r="C303" s="11">
        <v>1.18</v>
      </c>
      <c r="D303" s="20">
        <v>4.4390000000000001</v>
      </c>
      <c r="E303" s="13">
        <v>6.1040000000000001</v>
      </c>
    </row>
    <row r="304" spans="1:5" x14ac:dyDescent="0.25">
      <c r="A304" t="s">
        <v>1067</v>
      </c>
      <c r="B304" s="1" t="str">
        <f>HYPERLINK("http://www.ncbi.nlm.nih.gov/pubmed/?term=Gadd45a", "Gadd45a")</f>
        <v>Gadd45a</v>
      </c>
      <c r="C304" s="4">
        <v>5.0090000000000003</v>
      </c>
      <c r="D304" s="20">
        <v>4.431</v>
      </c>
      <c r="E304" s="13">
        <v>6.2279999999999998</v>
      </c>
    </row>
    <row r="305" spans="1:5" x14ac:dyDescent="0.25">
      <c r="A305" t="s">
        <v>183</v>
      </c>
      <c r="B305" s="1" t="str">
        <f>HYPERLINK("http://www.ncbi.nlm.nih.gov/pubmed/?term=Mras", "Mras")</f>
        <v>Mras</v>
      </c>
      <c r="C305" s="20">
        <v>4.556</v>
      </c>
      <c r="D305" s="20">
        <v>4.26</v>
      </c>
      <c r="E305" s="13">
        <v>6.1230000000000002</v>
      </c>
    </row>
    <row r="306" spans="1:5" x14ac:dyDescent="0.25">
      <c r="A306" t="s">
        <v>1026</v>
      </c>
      <c r="B306" s="1" t="str">
        <f>HYPERLINK("http://www.ncbi.nlm.nih.gov/pubmed/?term=Ttll9", "Ttll9")</f>
        <v>Ttll9</v>
      </c>
      <c r="C306" s="12">
        <v>-0.70430000000000004</v>
      </c>
      <c r="D306" s="12">
        <v>2.4819999999999998E-2</v>
      </c>
      <c r="E306" s="4">
        <v>5.07</v>
      </c>
    </row>
    <row r="307" spans="1:5" x14ac:dyDescent="0.25">
      <c r="A307" t="s">
        <v>401</v>
      </c>
      <c r="B307" s="1" t="str">
        <f>HYPERLINK("http://www.ncbi.nlm.nih.gov/pubmed/?term=Eno2", "Eno2")</f>
        <v>Eno2</v>
      </c>
      <c r="C307" s="12">
        <v>-0.1326</v>
      </c>
      <c r="D307" s="3">
        <v>2.556</v>
      </c>
      <c r="E307" s="4">
        <v>5.6550000000000002</v>
      </c>
    </row>
    <row r="308" spans="1:5" x14ac:dyDescent="0.25">
      <c r="A308" t="s">
        <v>121</v>
      </c>
      <c r="B308" s="1" t="str">
        <f>HYPERLINK("http://www.ncbi.nlm.nih.gov/pubmed/?term=Serpinb6b", "Serpinb6b")</f>
        <v>Serpinb6b</v>
      </c>
      <c r="C308" s="3">
        <v>2.129</v>
      </c>
      <c r="D308" s="20">
        <v>4.3460000000000001</v>
      </c>
      <c r="E308" s="13">
        <v>6.0570000000000004</v>
      </c>
    </row>
    <row r="309" spans="1:5" x14ac:dyDescent="0.25">
      <c r="A309" t="s">
        <v>1279</v>
      </c>
      <c r="B309" s="1" t="str">
        <f>HYPERLINK("http://www.ncbi.nlm.nih.gov/pubmed/?term=Bcat2", "Bcat2")</f>
        <v>Bcat2</v>
      </c>
      <c r="C309" s="20">
        <v>4.6159999999999997</v>
      </c>
      <c r="D309" s="20">
        <v>4.2030000000000003</v>
      </c>
      <c r="E309" s="13">
        <v>6.0990000000000002</v>
      </c>
    </row>
    <row r="310" spans="1:5" x14ac:dyDescent="0.25">
      <c r="A310" t="s">
        <v>10</v>
      </c>
      <c r="B310" s="1" t="str">
        <f>HYPERLINK("http://www.ncbi.nlm.nih.gov/pubmed/?term=Mknk2", "Mknk2")</f>
        <v>Mknk2</v>
      </c>
      <c r="C310" s="20">
        <v>4.9000000000000004</v>
      </c>
      <c r="D310" s="4">
        <v>5.2220000000000004</v>
      </c>
      <c r="E310" s="13">
        <v>6.2359999999999998</v>
      </c>
    </row>
    <row r="311" spans="1:5" x14ac:dyDescent="0.25">
      <c r="A311" t="s">
        <v>1694</v>
      </c>
      <c r="B311" s="1" t="str">
        <f>HYPERLINK("http://www.ncbi.nlm.nih.gov/pubmed/?term=Src", "Src")</f>
        <v>Src</v>
      </c>
      <c r="C311" s="20">
        <v>4.9290000000000003</v>
      </c>
      <c r="D311" s="4">
        <v>5.2320000000000002</v>
      </c>
      <c r="E311" s="13">
        <v>6.2359999999999998</v>
      </c>
    </row>
    <row r="312" spans="1:5" x14ac:dyDescent="0.25">
      <c r="A312" t="s">
        <v>761</v>
      </c>
      <c r="B312" s="1" t="str">
        <f>HYPERLINK("http://www.ncbi.nlm.nih.gov/pubmed/?term=Tnfsf9", "Tnfsf9")</f>
        <v>Tnfsf9</v>
      </c>
      <c r="C312" s="12">
        <v>-0.96289999999999998</v>
      </c>
      <c r="D312" s="11">
        <v>1.6919999999999999</v>
      </c>
      <c r="E312" s="4">
        <v>5.4050000000000002</v>
      </c>
    </row>
    <row r="313" spans="1:5" x14ac:dyDescent="0.25">
      <c r="A313" t="s">
        <v>33</v>
      </c>
      <c r="B313" s="1" t="str">
        <f>HYPERLINK("http://www.ncbi.nlm.nih.gov/pubmed/?term=Slc15a3", "Slc15a3")</f>
        <v>Slc15a3</v>
      </c>
      <c r="C313" s="12">
        <v>-2.3479999999999999</v>
      </c>
      <c r="D313" s="3">
        <v>2.3860000000000001</v>
      </c>
      <c r="E313" s="4">
        <v>5.5620000000000003</v>
      </c>
    </row>
    <row r="314" spans="1:5" x14ac:dyDescent="0.25">
      <c r="A314" t="s">
        <v>1833</v>
      </c>
      <c r="B314" s="1" t="str">
        <f>HYPERLINK("http://www.ncbi.nlm.nih.gov/pubmed/?term=Slc9a3r1", "Slc9a3r1")</f>
        <v>Slc9a3r1</v>
      </c>
      <c r="C314" s="20">
        <v>4.883</v>
      </c>
      <c r="D314" s="4">
        <v>5.1239999999999997</v>
      </c>
      <c r="E314" s="13">
        <v>6.1929999999999996</v>
      </c>
    </row>
    <row r="315" spans="1:5" x14ac:dyDescent="0.25">
      <c r="A315" t="s">
        <v>833</v>
      </c>
      <c r="B315" s="1" t="str">
        <f>HYPERLINK("http://www.ncbi.nlm.nih.gov/pubmed/?term=Dock10", "Dock10")</f>
        <v>Dock10</v>
      </c>
      <c r="C315" s="3">
        <v>2.073</v>
      </c>
      <c r="D315" s="22">
        <v>3.0979999999999999</v>
      </c>
      <c r="E315" s="4">
        <v>5.7140000000000004</v>
      </c>
    </row>
    <row r="316" spans="1:5" x14ac:dyDescent="0.25">
      <c r="A316" t="s">
        <v>1744</v>
      </c>
      <c r="B316" s="1" t="str">
        <f>HYPERLINK("http://www.ncbi.nlm.nih.gov/pubmed/?term=Tnfrsf11a", "Tnfrsf11a")</f>
        <v>Tnfrsf11a</v>
      </c>
      <c r="C316" s="12">
        <v>-3.5540000000000002E-2</v>
      </c>
      <c r="D316" s="20">
        <v>4.915</v>
      </c>
      <c r="E316" s="13">
        <v>6.1319999999999997</v>
      </c>
    </row>
    <row r="317" spans="1:5" x14ac:dyDescent="0.25">
      <c r="A317" t="s">
        <v>1213</v>
      </c>
      <c r="B317" s="1" t="str">
        <f>HYPERLINK("http://www.ncbi.nlm.nih.gov/pubmed/?term=Apoa4", "Apoa4")</f>
        <v>Apoa4</v>
      </c>
      <c r="C317" s="12">
        <v>-0.64510000000000001</v>
      </c>
      <c r="D317" s="22">
        <v>3.488</v>
      </c>
      <c r="E317" s="4">
        <v>5.8019999999999996</v>
      </c>
    </row>
    <row r="318" spans="1:5" x14ac:dyDescent="0.25">
      <c r="A318" t="s">
        <v>1614</v>
      </c>
      <c r="B318" s="1" t="str">
        <f>HYPERLINK("http://www.ncbi.nlm.nih.gov/pubmed/?term=Hnf1a", "Hnf1a")</f>
        <v>Hnf1a</v>
      </c>
      <c r="C318" s="12">
        <v>-0.95050000000000001</v>
      </c>
      <c r="D318" s="11">
        <v>1.9219999999999999</v>
      </c>
      <c r="E318" s="4">
        <v>5.4320000000000004</v>
      </c>
    </row>
    <row r="319" spans="1:5" x14ac:dyDescent="0.25">
      <c r="A319" t="s">
        <v>1159</v>
      </c>
      <c r="B319" s="1" t="str">
        <f>HYPERLINK("http://www.ncbi.nlm.nih.gov/pubmed/?term=Sel1l3", "Sel1l3")</f>
        <v>Sel1l3</v>
      </c>
      <c r="C319" s="12">
        <v>-2.823</v>
      </c>
      <c r="D319" s="22">
        <v>3.73</v>
      </c>
      <c r="E319" s="4">
        <v>5.8479999999999999</v>
      </c>
    </row>
    <row r="320" spans="1:5" x14ac:dyDescent="0.25">
      <c r="A320" t="s">
        <v>1789</v>
      </c>
      <c r="B320" s="1" t="str">
        <f>HYPERLINK("http://www.ncbi.nlm.nih.gov/pubmed/?term=Mrpl38", "Mrpl38")</f>
        <v>Mrpl38</v>
      </c>
      <c r="C320" s="20">
        <v>4.9359999999999999</v>
      </c>
      <c r="D320" s="20">
        <v>4.9539999999999997</v>
      </c>
      <c r="E320" s="13">
        <v>6.13</v>
      </c>
    </row>
    <row r="321" spans="1:5" x14ac:dyDescent="0.25">
      <c r="A321" t="s">
        <v>1795</v>
      </c>
      <c r="B321" s="1" t="str">
        <f>HYPERLINK("http://www.ncbi.nlm.nih.gov/pubmed/?term=Cdh17", "Cdh17")</f>
        <v>Cdh17</v>
      </c>
      <c r="C321" s="12">
        <v>-1.6140000000000001</v>
      </c>
      <c r="D321" s="3">
        <v>2.4620000000000002</v>
      </c>
      <c r="E321" s="4">
        <v>5.5519999999999996</v>
      </c>
    </row>
    <row r="322" spans="1:5" x14ac:dyDescent="0.25">
      <c r="A322" t="s">
        <v>485</v>
      </c>
      <c r="B322" s="1" t="str">
        <f>HYPERLINK("http://www.ncbi.nlm.nih.gov/pubmed/?term=Dennd4a", "Dennd4a")</f>
        <v>Dennd4a</v>
      </c>
      <c r="C322" s="3">
        <v>2.3159999999999998</v>
      </c>
      <c r="D322" s="3">
        <v>2.5920000000000001</v>
      </c>
      <c r="E322" s="4">
        <v>5.5709999999999997</v>
      </c>
    </row>
    <row r="323" spans="1:5" x14ac:dyDescent="0.25">
      <c r="A323" t="s">
        <v>694</v>
      </c>
      <c r="B323" s="1" t="str">
        <f>HYPERLINK("http://www.ncbi.nlm.nih.gov/pubmed/?term=Ogfrl1", "Ogfrl1")</f>
        <v>Ogfrl1</v>
      </c>
      <c r="C323" s="22">
        <v>3.7250000000000001</v>
      </c>
      <c r="D323" s="20">
        <v>4.1559999999999997</v>
      </c>
      <c r="E323" s="4">
        <v>5.9329999999999998</v>
      </c>
    </row>
    <row r="324" spans="1:5" x14ac:dyDescent="0.25">
      <c r="A324" t="s">
        <v>1057</v>
      </c>
      <c r="B324" s="1" t="str">
        <f>HYPERLINK("http://www.ncbi.nlm.nih.gov/pubmed/?term=Snx1", "Snx1")</f>
        <v>Snx1</v>
      </c>
      <c r="C324" s="4">
        <v>5.0469999999999997</v>
      </c>
      <c r="D324" s="20">
        <v>4.891</v>
      </c>
      <c r="E324" s="13">
        <v>6.1340000000000003</v>
      </c>
    </row>
    <row r="325" spans="1:5" x14ac:dyDescent="0.25">
      <c r="A325" t="s">
        <v>395</v>
      </c>
      <c r="B325" s="1" t="str">
        <f>HYPERLINK("http://www.ncbi.nlm.nih.gov/pubmed/?term=Ikzf1", "Ikzf1")</f>
        <v>Ikzf1</v>
      </c>
      <c r="C325" s="22">
        <v>3.3639999999999999</v>
      </c>
      <c r="D325" s="22">
        <v>3.617</v>
      </c>
      <c r="E325" s="4">
        <v>5.8010000000000002</v>
      </c>
    </row>
    <row r="326" spans="1:5" x14ac:dyDescent="0.25">
      <c r="A326" t="s">
        <v>42</v>
      </c>
      <c r="B326" s="1" t="str">
        <f>HYPERLINK("http://www.ncbi.nlm.nih.gov/pubmed/?term=Dleu7", "Dleu7")</f>
        <v>Dleu7</v>
      </c>
      <c r="C326" s="12">
        <v>-2.2770000000000001</v>
      </c>
      <c r="D326" s="3">
        <v>2.1680000000000001</v>
      </c>
      <c r="E326" s="4">
        <v>5.4539999999999997</v>
      </c>
    </row>
    <row r="327" spans="1:5" x14ac:dyDescent="0.25">
      <c r="A327" t="s">
        <v>1317</v>
      </c>
      <c r="B327" s="1" t="str">
        <f>HYPERLINK("http://www.ncbi.nlm.nih.gov/pubmed/?term=Antxr2", "Antxr2")</f>
        <v>Antxr2</v>
      </c>
      <c r="C327" s="3">
        <v>2.6190000000000002</v>
      </c>
      <c r="D327" s="22">
        <v>3.379</v>
      </c>
      <c r="E327" s="4">
        <v>5.7320000000000002</v>
      </c>
    </row>
    <row r="328" spans="1:5" x14ac:dyDescent="0.25">
      <c r="A328" t="s">
        <v>1241</v>
      </c>
      <c r="B328" s="1" t="str">
        <f>HYPERLINK("http://www.ncbi.nlm.nih.gov/pubmed/?term=Grem2", "Grem2")</f>
        <v>Grem2</v>
      </c>
      <c r="C328" s="12">
        <v>-1.2789999999999999</v>
      </c>
      <c r="D328" s="12">
        <v>-1.5429999999999999</v>
      </c>
      <c r="E328" s="20">
        <v>4.9489999999999998</v>
      </c>
    </row>
    <row r="329" spans="1:5" x14ac:dyDescent="0.25">
      <c r="A329" t="s">
        <v>685</v>
      </c>
      <c r="B329" s="1" t="str">
        <f>HYPERLINK("http://www.ncbi.nlm.nih.gov/pubmed/?term=Snx11", "Snx11")</f>
        <v>Snx11</v>
      </c>
      <c r="C329" s="22">
        <v>3.7090000000000001</v>
      </c>
      <c r="D329" s="20">
        <v>4.3609999999999998</v>
      </c>
      <c r="E329" s="4">
        <v>5.9450000000000003</v>
      </c>
    </row>
    <row r="330" spans="1:5" x14ac:dyDescent="0.25">
      <c r="A330" t="s">
        <v>1535</v>
      </c>
      <c r="B330" s="1" t="str">
        <f>HYPERLINK("http://www.ncbi.nlm.nih.gov/pubmed/?term=Kcnh6", "Kcnh6")</f>
        <v>Kcnh6</v>
      </c>
      <c r="C330" s="11">
        <v>1.6379999999999999</v>
      </c>
      <c r="D330" s="22">
        <v>3.4249999999999998</v>
      </c>
      <c r="E330" s="4">
        <v>5.726</v>
      </c>
    </row>
    <row r="331" spans="1:5" x14ac:dyDescent="0.25">
      <c r="A331" t="s">
        <v>822</v>
      </c>
      <c r="B331" s="1" t="str">
        <f>HYPERLINK("http://www.ncbi.nlm.nih.gov/pubmed/?term=Pkia", "Pkia")</f>
        <v>Pkia</v>
      </c>
      <c r="C331" s="3">
        <v>2.2890000000000001</v>
      </c>
      <c r="D331" s="22">
        <v>3.5150000000000001</v>
      </c>
      <c r="E331" s="4">
        <v>5.7460000000000004</v>
      </c>
    </row>
    <row r="332" spans="1:5" x14ac:dyDescent="0.25">
      <c r="A332" t="s">
        <v>1658</v>
      </c>
      <c r="B332" s="1" t="str">
        <f>HYPERLINK("http://www.ncbi.nlm.nih.gov/pubmed/?term=Slc2a6", "Slc2a6")</f>
        <v>Slc2a6</v>
      </c>
      <c r="C332" s="12">
        <v>-2.69</v>
      </c>
      <c r="D332" s="11">
        <v>1.4650000000000001</v>
      </c>
      <c r="E332" s="4">
        <v>5.27</v>
      </c>
    </row>
    <row r="333" spans="1:5" x14ac:dyDescent="0.25">
      <c r="A333" t="s">
        <v>234</v>
      </c>
      <c r="B333" s="1" t="str">
        <f>HYPERLINK("http://www.ncbi.nlm.nih.gov/pubmed/?term=Prps1", "Prps1")</f>
        <v>Prps1</v>
      </c>
      <c r="C333" s="22">
        <v>3.2069999999999999</v>
      </c>
      <c r="D333" s="20">
        <v>4.1639999999999997</v>
      </c>
      <c r="E333" s="4">
        <v>5.8929999999999998</v>
      </c>
    </row>
    <row r="334" spans="1:5" x14ac:dyDescent="0.25">
      <c r="A334" t="s">
        <v>1756</v>
      </c>
      <c r="B334" s="1" t="str">
        <f>HYPERLINK("http://www.ncbi.nlm.nih.gov/pubmed/?term=C1qtnf6", "C1qtnf6")</f>
        <v>C1qtnf6</v>
      </c>
      <c r="C334" s="11">
        <v>1.454</v>
      </c>
      <c r="D334" s="20">
        <v>4.843</v>
      </c>
      <c r="E334" s="13">
        <v>6.0460000000000003</v>
      </c>
    </row>
    <row r="335" spans="1:5" x14ac:dyDescent="0.25">
      <c r="A335" t="s">
        <v>816</v>
      </c>
      <c r="B335" s="1" t="str">
        <f>HYPERLINK("http://www.ncbi.nlm.nih.gov/pubmed/?term=Tulp2", "Tulp2")</f>
        <v>Tulp2</v>
      </c>
      <c r="C335" s="3">
        <v>2.3479999999999999</v>
      </c>
      <c r="D335" s="11">
        <v>1.827</v>
      </c>
      <c r="E335" s="4">
        <v>5.4580000000000002</v>
      </c>
    </row>
    <row r="336" spans="1:5" x14ac:dyDescent="0.25">
      <c r="A336" t="s">
        <v>155</v>
      </c>
      <c r="B336" s="1" t="str">
        <f>HYPERLINK("http://www.ncbi.nlm.nih.gov/pubmed/?term=Gga3", "Gga3")</f>
        <v>Gga3</v>
      </c>
      <c r="C336" s="22">
        <v>3.6970000000000001</v>
      </c>
      <c r="D336" s="22">
        <v>3.7930000000000001</v>
      </c>
      <c r="E336" s="4">
        <v>5.7869999999999999</v>
      </c>
    </row>
    <row r="337" spans="1:5" x14ac:dyDescent="0.25">
      <c r="A337" t="s">
        <v>1238</v>
      </c>
      <c r="B337" s="1" t="str">
        <f>HYPERLINK("http://www.ncbi.nlm.nih.gov/pubmed/?term=B3galt5", "B3galt5")</f>
        <v>B3galt5</v>
      </c>
      <c r="C337" s="22">
        <v>3.85</v>
      </c>
      <c r="D337" s="3">
        <v>2.8780000000000001</v>
      </c>
      <c r="E337" s="4">
        <v>5.7990000000000004</v>
      </c>
    </row>
    <row r="338" spans="1:5" x14ac:dyDescent="0.25">
      <c r="A338" t="s">
        <v>1295</v>
      </c>
      <c r="B338" s="1" t="str">
        <f>HYPERLINK("http://www.ncbi.nlm.nih.gov/pubmed/?term=Igsf8", "Igsf8")</f>
        <v>Igsf8</v>
      </c>
      <c r="C338" s="12">
        <v>0.9546</v>
      </c>
      <c r="D338" s="20">
        <v>4.0149999999999997</v>
      </c>
      <c r="E338" s="4">
        <v>5.8360000000000003</v>
      </c>
    </row>
    <row r="339" spans="1:5" x14ac:dyDescent="0.25">
      <c r="A339" t="s">
        <v>1170</v>
      </c>
      <c r="B339" s="1" t="str">
        <f>HYPERLINK("http://www.ncbi.nlm.nih.gov/pubmed/?term=Fam115c", "Fam115c")</f>
        <v>Fam115c</v>
      </c>
      <c r="C339" s="20">
        <v>4.3579999999999997</v>
      </c>
      <c r="D339" s="20">
        <v>4.9320000000000004</v>
      </c>
      <c r="E339" s="13">
        <v>6.04</v>
      </c>
    </row>
    <row r="340" spans="1:5" x14ac:dyDescent="0.25">
      <c r="A340" t="s">
        <v>357</v>
      </c>
      <c r="B340" s="1" t="str">
        <f>HYPERLINK("http://www.ncbi.nlm.nih.gov/pubmed/?term=2210407C18Rik", "2210407C18Rik")</f>
        <v>2210407C18Rik</v>
      </c>
      <c r="C340" s="12">
        <v>-0.82</v>
      </c>
      <c r="D340" s="20">
        <v>4.1740000000000004</v>
      </c>
      <c r="E340" s="4">
        <v>5.8630000000000004</v>
      </c>
    </row>
    <row r="341" spans="1:5" x14ac:dyDescent="0.25">
      <c r="A341" t="s">
        <v>789</v>
      </c>
      <c r="B341" s="1" t="str">
        <f>HYPERLINK("http://www.ncbi.nlm.nih.gov/pubmed/?term=Cmtm7", "Cmtm7")</f>
        <v>Cmtm7</v>
      </c>
      <c r="C341" s="22">
        <v>3.8010000000000002</v>
      </c>
      <c r="D341" s="20">
        <v>4.88</v>
      </c>
      <c r="E341" s="13">
        <v>6.0259999999999998</v>
      </c>
    </row>
    <row r="342" spans="1:5" x14ac:dyDescent="0.25">
      <c r="A342" t="s">
        <v>735</v>
      </c>
      <c r="B342" s="1" t="str">
        <f>HYPERLINK("http://www.ncbi.nlm.nih.gov/pubmed/?term=Traf1", "Traf1")</f>
        <v>Traf1</v>
      </c>
      <c r="C342" s="12">
        <v>-0.19309999999999999</v>
      </c>
      <c r="D342" s="22">
        <v>3.6419999999999999</v>
      </c>
      <c r="E342" s="4">
        <v>5.7389999999999999</v>
      </c>
    </row>
    <row r="343" spans="1:5" x14ac:dyDescent="0.25">
      <c r="A343" t="s">
        <v>2050</v>
      </c>
      <c r="B343" s="1" t="str">
        <f>HYPERLINK("http://www.ncbi.nlm.nih.gov/pubmed/?term=Daam1", "Daam1")</f>
        <v>Daam1</v>
      </c>
      <c r="C343" s="20">
        <v>4.9880000000000004</v>
      </c>
      <c r="D343" s="20">
        <v>4.5339999999999998</v>
      </c>
      <c r="E343" s="13">
        <v>6.048</v>
      </c>
    </row>
    <row r="344" spans="1:5" x14ac:dyDescent="0.25">
      <c r="A344" t="s">
        <v>1691</v>
      </c>
      <c r="B344" s="1" t="str">
        <f>HYPERLINK("http://www.ncbi.nlm.nih.gov/pubmed/?term=Kpna3", "Kpna3")</f>
        <v>Kpna3</v>
      </c>
      <c r="C344" s="4">
        <v>5.0640000000000001</v>
      </c>
      <c r="D344" s="20">
        <v>4.0810000000000004</v>
      </c>
      <c r="E344" s="13">
        <v>6.0640000000000001</v>
      </c>
    </row>
    <row r="345" spans="1:5" x14ac:dyDescent="0.25">
      <c r="A345" t="s">
        <v>1459</v>
      </c>
      <c r="B345" s="1" t="str">
        <f>HYPERLINK("http://www.ncbi.nlm.nih.gov/pubmed/?term=Mob3a", "Mob3a")</f>
        <v>Mob3a</v>
      </c>
      <c r="C345" s="22">
        <v>3.484</v>
      </c>
      <c r="D345" s="20">
        <v>4.718</v>
      </c>
      <c r="E345" s="4">
        <v>5.9809999999999999</v>
      </c>
    </row>
    <row r="346" spans="1:5" x14ac:dyDescent="0.25">
      <c r="A346" t="s">
        <v>151</v>
      </c>
      <c r="B346" s="1" t="str">
        <f>HYPERLINK("http://www.ncbi.nlm.nih.gov/pubmed/?term=Apobec1", "Apobec1")</f>
        <v>Apobec1</v>
      </c>
      <c r="C346" s="3">
        <v>2.952</v>
      </c>
      <c r="D346" s="20">
        <v>4.1829999999999998</v>
      </c>
      <c r="E346" s="4">
        <v>5.8570000000000002</v>
      </c>
    </row>
    <row r="347" spans="1:5" x14ac:dyDescent="0.25">
      <c r="A347" t="s">
        <v>1992</v>
      </c>
      <c r="B347" s="1" t="str">
        <f>HYPERLINK("http://www.ncbi.nlm.nih.gov/pubmed/?term=Cysltr2", "Cysltr2")</f>
        <v>Cysltr2</v>
      </c>
      <c r="C347" s="22">
        <v>3.9689999999999999</v>
      </c>
      <c r="D347" s="22">
        <v>3.7080000000000002</v>
      </c>
      <c r="E347" s="4">
        <v>5.8029999999999999</v>
      </c>
    </row>
    <row r="348" spans="1:5" x14ac:dyDescent="0.25">
      <c r="A348" t="s">
        <v>1452</v>
      </c>
      <c r="B348" s="1" t="str">
        <f>HYPERLINK("http://www.ncbi.nlm.nih.gov/pubmed/?term=Ccdc50", "Ccdc50")</f>
        <v>Ccdc50</v>
      </c>
      <c r="C348" s="4">
        <v>5.03</v>
      </c>
      <c r="D348" s="20">
        <v>4.4509999999999996</v>
      </c>
      <c r="E348" s="13">
        <v>6.0439999999999996</v>
      </c>
    </row>
    <row r="349" spans="1:5" x14ac:dyDescent="0.25">
      <c r="A349" t="s">
        <v>870</v>
      </c>
      <c r="B349" s="1" t="str">
        <f>HYPERLINK("http://www.ncbi.nlm.nih.gov/pubmed/?term=Gdap1l1", "Gdap1l1")</f>
        <v>Gdap1l1</v>
      </c>
      <c r="C349" s="12">
        <v>-3.4119999999999999</v>
      </c>
      <c r="D349" s="11">
        <v>1.5940000000000001</v>
      </c>
      <c r="E349" s="4">
        <v>5.2469999999999999</v>
      </c>
    </row>
    <row r="350" spans="1:5" x14ac:dyDescent="0.25">
      <c r="A350" t="s">
        <v>974</v>
      </c>
      <c r="B350" s="1" t="str">
        <f>HYPERLINK("http://www.ncbi.nlm.nih.gov/pubmed/?term=Snrpn", "Snrpn")</f>
        <v>Snrpn</v>
      </c>
      <c r="C350" s="11">
        <v>1.9430000000000001</v>
      </c>
      <c r="D350" s="3">
        <v>2.88</v>
      </c>
      <c r="E350" s="4">
        <v>5.5439999999999996</v>
      </c>
    </row>
    <row r="351" spans="1:5" x14ac:dyDescent="0.25">
      <c r="A351" t="s">
        <v>753</v>
      </c>
      <c r="B351" s="1" t="str">
        <f>HYPERLINK("http://www.ncbi.nlm.nih.gov/pubmed/?term=Dcn", "Dcn")</f>
        <v>Dcn</v>
      </c>
      <c r="C351" s="22">
        <v>3.7050000000000001</v>
      </c>
      <c r="D351" s="20">
        <v>4.5940000000000003</v>
      </c>
      <c r="E351" s="4">
        <v>5.9370000000000003</v>
      </c>
    </row>
    <row r="352" spans="1:5" x14ac:dyDescent="0.25">
      <c r="A352" t="s">
        <v>623</v>
      </c>
      <c r="B352" s="1" t="str">
        <f>HYPERLINK("http://www.ncbi.nlm.nih.gov/pubmed/?term=Ksr1", "Ksr1")</f>
        <v>Ksr1</v>
      </c>
      <c r="C352" s="22">
        <v>3.0750000000000002</v>
      </c>
      <c r="D352" s="22">
        <v>3.84</v>
      </c>
      <c r="E352" s="4">
        <v>5.7590000000000003</v>
      </c>
    </row>
    <row r="353" spans="1:5" x14ac:dyDescent="0.25">
      <c r="A353" t="s">
        <v>1984</v>
      </c>
      <c r="B353" s="1" t="str">
        <f>HYPERLINK("http://www.ncbi.nlm.nih.gov/pubmed/?term=Slc1a3", "Slc1a3")</f>
        <v>Slc1a3</v>
      </c>
      <c r="C353" s="20">
        <v>4.4240000000000004</v>
      </c>
      <c r="D353" s="20">
        <v>4.6219999999999999</v>
      </c>
      <c r="E353" s="4">
        <v>5.9349999999999996</v>
      </c>
    </row>
    <row r="354" spans="1:5" x14ac:dyDescent="0.25">
      <c r="A354" t="s">
        <v>101</v>
      </c>
      <c r="B354" s="1" t="str">
        <f>HYPERLINK("http://www.ncbi.nlm.nih.gov/pubmed/?term=Rnf183", "Rnf183")</f>
        <v>Rnf183</v>
      </c>
      <c r="C354" s="12">
        <v>0.41189999999999999</v>
      </c>
      <c r="D354" s="22">
        <v>3.2770000000000001</v>
      </c>
      <c r="E354" s="4">
        <v>5.6230000000000002</v>
      </c>
    </row>
    <row r="355" spans="1:5" x14ac:dyDescent="0.25">
      <c r="A355" t="s">
        <v>1256</v>
      </c>
      <c r="B355" s="1" t="str">
        <f>HYPERLINK("http://www.ncbi.nlm.nih.gov/pubmed/?term=Slc6a4", "Slc6a4")</f>
        <v>Slc6a4</v>
      </c>
      <c r="C355" s="12">
        <v>-0.69540000000000002</v>
      </c>
      <c r="D355" s="20">
        <v>4.1989999999999998</v>
      </c>
      <c r="E355" s="4">
        <v>5.835</v>
      </c>
    </row>
    <row r="356" spans="1:5" x14ac:dyDescent="0.25">
      <c r="A356" t="s">
        <v>701</v>
      </c>
      <c r="B356" s="1" t="str">
        <f>HYPERLINK("http://www.ncbi.nlm.nih.gov/pubmed/?term=Rab11fip1", "Rab11fip1")</f>
        <v>Rab11fip1</v>
      </c>
      <c r="C356" s="11">
        <v>1.7629999999999999</v>
      </c>
      <c r="D356" s="22">
        <v>3.7290000000000001</v>
      </c>
      <c r="E356" s="4">
        <v>5.7249999999999996</v>
      </c>
    </row>
    <row r="357" spans="1:5" x14ac:dyDescent="0.25">
      <c r="A357" t="s">
        <v>1830</v>
      </c>
      <c r="B357" s="1" t="str">
        <f>HYPERLINK("http://www.ncbi.nlm.nih.gov/pubmed/?term=Scpep1", "Scpep1")</f>
        <v>Scpep1</v>
      </c>
      <c r="C357" s="11">
        <v>1.538</v>
      </c>
      <c r="D357" s="3">
        <v>2.8140000000000001</v>
      </c>
      <c r="E357" s="4">
        <v>5.5030000000000001</v>
      </c>
    </row>
    <row r="358" spans="1:5" x14ac:dyDescent="0.25">
      <c r="A358" t="s">
        <v>207</v>
      </c>
      <c r="B358" s="1" t="str">
        <f>HYPERLINK("http://www.ncbi.nlm.nih.gov/pubmed/?term=Cacng8", "Cacng8")</f>
        <v>Cacng8</v>
      </c>
      <c r="C358" s="12">
        <v>-4.9610000000000003</v>
      </c>
      <c r="D358" s="12">
        <v>-1.6679999999999999</v>
      </c>
      <c r="E358" s="20">
        <v>4.8499999999999996</v>
      </c>
    </row>
    <row r="359" spans="1:5" x14ac:dyDescent="0.25">
      <c r="A359" t="s">
        <v>1431</v>
      </c>
      <c r="B359" s="1" t="str">
        <f>HYPERLINK("http://www.ncbi.nlm.nih.gov/pubmed/?term=Smtnl1", "Smtnl1")</f>
        <v>Smtnl1</v>
      </c>
      <c r="C359" s="12">
        <v>-2.508</v>
      </c>
      <c r="D359" s="12">
        <v>0.49509999999999998</v>
      </c>
      <c r="E359" s="20">
        <v>4.9530000000000003</v>
      </c>
    </row>
    <row r="360" spans="1:5" x14ac:dyDescent="0.25">
      <c r="A360" t="s">
        <v>1896</v>
      </c>
      <c r="B360" s="1" t="str">
        <f>HYPERLINK("http://www.ncbi.nlm.nih.gov/pubmed/?term=Dpp3", "Dpp3")</f>
        <v>Dpp3</v>
      </c>
      <c r="C360" s="20">
        <v>4.907</v>
      </c>
      <c r="D360" s="20">
        <v>4.9379999999999997</v>
      </c>
      <c r="E360" s="4">
        <v>5.98</v>
      </c>
    </row>
    <row r="361" spans="1:5" x14ac:dyDescent="0.25">
      <c r="A361" t="s">
        <v>599</v>
      </c>
      <c r="B361" s="1" t="str">
        <f>HYPERLINK("http://www.ncbi.nlm.nih.gov/pubmed/?term=1700029F12Rik", "1700029F12Rik")</f>
        <v>1700029F12Rik</v>
      </c>
      <c r="C361" s="12">
        <v>-2.8109999999999999</v>
      </c>
      <c r="D361" s="12">
        <v>-1.548</v>
      </c>
      <c r="E361" s="20">
        <v>4.8360000000000003</v>
      </c>
    </row>
    <row r="362" spans="1:5" x14ac:dyDescent="0.25">
      <c r="A362" t="s">
        <v>861</v>
      </c>
      <c r="B362" s="1" t="str">
        <f>HYPERLINK("http://www.ncbi.nlm.nih.gov/pubmed/?term=Anxa10", "Anxa10")</f>
        <v>Anxa10</v>
      </c>
      <c r="C362" s="12">
        <v>-3.14</v>
      </c>
      <c r="D362" s="11">
        <v>1.4870000000000001</v>
      </c>
      <c r="E362" s="4">
        <v>5.1790000000000003</v>
      </c>
    </row>
    <row r="363" spans="1:5" x14ac:dyDescent="0.25">
      <c r="A363" t="s">
        <v>528</v>
      </c>
      <c r="B363" s="1" t="str">
        <f>HYPERLINK("http://www.ncbi.nlm.nih.gov/pubmed/?term=Dgat2", "Dgat2")</f>
        <v>Dgat2</v>
      </c>
      <c r="C363" s="11">
        <v>1.2350000000000001</v>
      </c>
      <c r="D363" s="22">
        <v>3.516</v>
      </c>
      <c r="E363" s="4">
        <v>5.6479999999999997</v>
      </c>
    </row>
    <row r="364" spans="1:5" x14ac:dyDescent="0.25">
      <c r="A364" t="s">
        <v>213</v>
      </c>
      <c r="B364" s="1" t="str">
        <f>HYPERLINK("http://www.ncbi.nlm.nih.gov/pubmed/?term=Slc9a7", "Slc9a7")</f>
        <v>Slc9a7</v>
      </c>
      <c r="C364" s="12">
        <v>0.90759999999999996</v>
      </c>
      <c r="D364" s="22">
        <v>3.2879999999999998</v>
      </c>
      <c r="E364" s="4">
        <v>5.5819999999999999</v>
      </c>
    </row>
    <row r="365" spans="1:5" x14ac:dyDescent="0.25">
      <c r="A365" t="s">
        <v>449</v>
      </c>
      <c r="B365" s="1" t="str">
        <f>HYPERLINK("http://www.ncbi.nlm.nih.gov/pubmed/?term=Hal", "Hal")</f>
        <v>Hal</v>
      </c>
      <c r="C365" s="12">
        <v>-2.4039999999999999</v>
      </c>
      <c r="D365" s="11">
        <v>1.841</v>
      </c>
      <c r="E365" s="4">
        <v>5.2469999999999999</v>
      </c>
    </row>
    <row r="366" spans="1:5" x14ac:dyDescent="0.25">
      <c r="A366" t="s">
        <v>1290</v>
      </c>
      <c r="B366" s="1" t="str">
        <f>HYPERLINK("http://www.ncbi.nlm.nih.gov/pubmed/?term=Fam160a1", "Fam160a1")</f>
        <v>Fam160a1</v>
      </c>
      <c r="C366" s="22">
        <v>3.51</v>
      </c>
      <c r="D366" s="22">
        <v>3.6280000000000001</v>
      </c>
      <c r="E366" s="4">
        <v>5.6449999999999996</v>
      </c>
    </row>
    <row r="367" spans="1:5" x14ac:dyDescent="0.25">
      <c r="A367" t="s">
        <v>731</v>
      </c>
      <c r="B367" s="1" t="str">
        <f>HYPERLINK("http://www.ncbi.nlm.nih.gov/pubmed/?term=Sult1c2", "Sult1c2")</f>
        <v>Sult1c2</v>
      </c>
      <c r="C367" s="12">
        <v>-2.4060000000000001</v>
      </c>
      <c r="D367" s="12">
        <v>0.68179999999999996</v>
      </c>
      <c r="E367" s="20">
        <v>4.96</v>
      </c>
    </row>
    <row r="368" spans="1:5" x14ac:dyDescent="0.25">
      <c r="A368" t="s">
        <v>1886</v>
      </c>
      <c r="B368" s="1" t="str">
        <f>HYPERLINK("http://www.ncbi.nlm.nih.gov/pubmed/?term=Ccr4", "Ccr4")</f>
        <v>Ccr4</v>
      </c>
      <c r="C368" s="12">
        <v>-1.0640000000000001</v>
      </c>
      <c r="D368" s="12">
        <v>-3.832E-2</v>
      </c>
      <c r="E368" s="20">
        <v>4.7910000000000004</v>
      </c>
    </row>
    <row r="369" spans="1:5" x14ac:dyDescent="0.25">
      <c r="A369" t="s">
        <v>1400</v>
      </c>
      <c r="B369" s="1" t="str">
        <f>HYPERLINK("http://www.ncbi.nlm.nih.gov/pubmed/?term=Micall1", "Micall1")</f>
        <v>Micall1</v>
      </c>
      <c r="C369" s="20">
        <v>4.0190000000000001</v>
      </c>
      <c r="D369" s="20">
        <v>4.7789999999999999</v>
      </c>
      <c r="E369" s="4">
        <v>5.8929999999999998</v>
      </c>
    </row>
    <row r="370" spans="1:5" x14ac:dyDescent="0.25">
      <c r="A370" t="s">
        <v>498</v>
      </c>
      <c r="B370" s="1" t="str">
        <f>HYPERLINK("http://www.ncbi.nlm.nih.gov/pubmed/?term=Tnip2", "Tnip2")</f>
        <v>Tnip2</v>
      </c>
      <c r="C370" s="22">
        <v>3.0960000000000001</v>
      </c>
      <c r="D370" s="20">
        <v>4.2380000000000004</v>
      </c>
      <c r="E370" s="4">
        <v>5.7679999999999998</v>
      </c>
    </row>
    <row r="371" spans="1:5" x14ac:dyDescent="0.25">
      <c r="A371" t="s">
        <v>1157</v>
      </c>
      <c r="B371" s="1" t="str">
        <f>HYPERLINK("http://www.ncbi.nlm.nih.gov/pubmed/?term=Adipor2", "Adipor2")</f>
        <v>Adipor2</v>
      </c>
      <c r="C371" s="20">
        <v>4.2590000000000003</v>
      </c>
      <c r="D371" s="20">
        <v>4.05</v>
      </c>
      <c r="E371" s="4">
        <v>5.7720000000000002</v>
      </c>
    </row>
    <row r="372" spans="1:5" x14ac:dyDescent="0.25">
      <c r="A372" t="s">
        <v>1018</v>
      </c>
      <c r="B372" s="1" t="str">
        <f>HYPERLINK("http://www.ncbi.nlm.nih.gov/pubmed/?term=F2rl1", "F2rl1")</f>
        <v>F2rl1</v>
      </c>
      <c r="C372" s="3">
        <v>2.4</v>
      </c>
      <c r="D372" s="20">
        <v>4.7569999999999997</v>
      </c>
      <c r="E372" s="4">
        <v>5.8840000000000003</v>
      </c>
    </row>
    <row r="373" spans="1:5" x14ac:dyDescent="0.25">
      <c r="A373" t="s">
        <v>884</v>
      </c>
      <c r="B373" s="1" t="str">
        <f>HYPERLINK("http://www.ncbi.nlm.nih.gov/pubmed/?term=Srl", "Srl")</f>
        <v>Srl</v>
      </c>
      <c r="C373" s="11">
        <v>1.6719999999999999</v>
      </c>
      <c r="D373" s="22">
        <v>3.0179999999999998</v>
      </c>
      <c r="E373" s="4">
        <v>5.4749999999999996</v>
      </c>
    </row>
    <row r="374" spans="1:5" x14ac:dyDescent="0.25">
      <c r="A374" t="s">
        <v>1411</v>
      </c>
      <c r="B374" s="1" t="str">
        <f>HYPERLINK("http://www.ncbi.nlm.nih.gov/pubmed/?term=Gja4", "Gja4")</f>
        <v>Gja4</v>
      </c>
      <c r="C374" s="12">
        <v>-1.212</v>
      </c>
      <c r="D374" s="20">
        <v>4.5209999999999999</v>
      </c>
      <c r="E374" s="4">
        <v>5.8150000000000004</v>
      </c>
    </row>
    <row r="375" spans="1:5" x14ac:dyDescent="0.25">
      <c r="A375" t="s">
        <v>1558</v>
      </c>
      <c r="B375" s="1" t="str">
        <f>HYPERLINK("http://www.ncbi.nlm.nih.gov/pubmed/?term=Rgs17", "Rgs17")</f>
        <v>Rgs17</v>
      </c>
      <c r="C375" s="12">
        <v>-1.032</v>
      </c>
      <c r="D375" s="22">
        <v>3.1469999999999998</v>
      </c>
      <c r="E375" s="4">
        <v>5.4960000000000004</v>
      </c>
    </row>
    <row r="376" spans="1:5" x14ac:dyDescent="0.25">
      <c r="A376" t="s">
        <v>529</v>
      </c>
      <c r="B376" s="1" t="str">
        <f>HYPERLINK("http://www.ncbi.nlm.nih.gov/pubmed/?term=Il21r", "Il21r")</f>
        <v>Il21r</v>
      </c>
      <c r="C376" s="12">
        <v>0.82230000000000003</v>
      </c>
      <c r="D376" s="12">
        <v>-0.52549999999999997</v>
      </c>
      <c r="E376" s="20">
        <v>4.952</v>
      </c>
    </row>
    <row r="377" spans="1:5" x14ac:dyDescent="0.25">
      <c r="A377" t="s">
        <v>1359</v>
      </c>
      <c r="B377" s="1" t="str">
        <f>HYPERLINK("http://www.ncbi.nlm.nih.gov/pubmed/?term=Plek", "Plek")</f>
        <v>Plek</v>
      </c>
      <c r="C377" s="12">
        <v>-1.4239999999999999</v>
      </c>
      <c r="D377" s="3">
        <v>2.6840000000000002</v>
      </c>
      <c r="E377" s="4">
        <v>5.383</v>
      </c>
    </row>
    <row r="378" spans="1:5" x14ac:dyDescent="0.25">
      <c r="A378" t="s">
        <v>1273</v>
      </c>
      <c r="B378" s="1" t="str">
        <f>HYPERLINK("http://www.ncbi.nlm.nih.gov/pubmed/?term=Bsdc1", "Bsdc1")</f>
        <v>Bsdc1</v>
      </c>
      <c r="C378" s="22">
        <v>3.9369999999999998</v>
      </c>
      <c r="D378" s="20">
        <v>4.4240000000000004</v>
      </c>
      <c r="E378" s="4">
        <v>5.782</v>
      </c>
    </row>
    <row r="379" spans="1:5" x14ac:dyDescent="0.25">
      <c r="A379" t="s">
        <v>803</v>
      </c>
      <c r="B379" s="1" t="str">
        <f>HYPERLINK("http://www.ncbi.nlm.nih.gov/pubmed/?term=BC051142", "BC051142")</f>
        <v>BC051142</v>
      </c>
      <c r="C379" s="11">
        <v>1.7250000000000001</v>
      </c>
      <c r="D379" s="3">
        <v>2.3660000000000001</v>
      </c>
      <c r="E379" s="4">
        <v>5.2949999999999999</v>
      </c>
    </row>
    <row r="380" spans="1:5" x14ac:dyDescent="0.25">
      <c r="A380" t="s">
        <v>223</v>
      </c>
      <c r="B380" s="1" t="str">
        <f>HYPERLINK("http://www.ncbi.nlm.nih.gov/pubmed/?term=Kdm1b", "Kdm1b")</f>
        <v>Kdm1b</v>
      </c>
      <c r="C380" s="20">
        <v>4.7229999999999999</v>
      </c>
      <c r="D380" s="20">
        <v>4.6280000000000001</v>
      </c>
      <c r="E380" s="4">
        <v>5.8380000000000001</v>
      </c>
    </row>
    <row r="381" spans="1:5" x14ac:dyDescent="0.25">
      <c r="A381" t="s">
        <v>1835</v>
      </c>
      <c r="B381" s="1" t="str">
        <f>HYPERLINK("http://www.ncbi.nlm.nih.gov/pubmed/?term=Psd", "Psd")</f>
        <v>Psd</v>
      </c>
      <c r="C381" s="20">
        <v>4.1719999999999997</v>
      </c>
      <c r="D381" s="20">
        <v>4.0339999999999998</v>
      </c>
      <c r="E381" s="4">
        <v>5.7089999999999996</v>
      </c>
    </row>
    <row r="382" spans="1:5" x14ac:dyDescent="0.25">
      <c r="A382" t="s">
        <v>1869</v>
      </c>
      <c r="B382" s="1" t="str">
        <f>HYPERLINK("http://www.ncbi.nlm.nih.gov/pubmed/?term=Rad50", "Rad50")</f>
        <v>Rad50</v>
      </c>
      <c r="C382" s="20">
        <v>4.0369999999999999</v>
      </c>
      <c r="D382" s="22">
        <v>3.32</v>
      </c>
      <c r="E382" s="4">
        <v>5.6710000000000003</v>
      </c>
    </row>
    <row r="383" spans="1:5" x14ac:dyDescent="0.25">
      <c r="A383" t="s">
        <v>1619</v>
      </c>
      <c r="B383" s="1" t="str">
        <f>HYPERLINK("http://www.ncbi.nlm.nih.gov/pubmed/?term=Kcnk6", "Kcnk6")</f>
        <v>Kcnk6</v>
      </c>
      <c r="C383" s="12">
        <v>0.88529999999999998</v>
      </c>
      <c r="D383" s="3">
        <v>2.7679999999999998</v>
      </c>
      <c r="E383" s="4">
        <v>5.3739999999999997</v>
      </c>
    </row>
    <row r="384" spans="1:5" x14ac:dyDescent="0.25">
      <c r="A384" t="s">
        <v>1562</v>
      </c>
      <c r="B384" s="1" t="str">
        <f>HYPERLINK("http://www.ncbi.nlm.nih.gov/pubmed/?term=Dusp16", "Dusp16")</f>
        <v>Dusp16</v>
      </c>
      <c r="C384" s="20">
        <v>4.3460000000000001</v>
      </c>
      <c r="D384" s="22">
        <v>3.8780000000000001</v>
      </c>
      <c r="E384" s="4">
        <v>5.73</v>
      </c>
    </row>
    <row r="385" spans="1:5" x14ac:dyDescent="0.25">
      <c r="A385" t="s">
        <v>1537</v>
      </c>
      <c r="B385" s="1" t="str">
        <f>HYPERLINK("http://www.ncbi.nlm.nih.gov/pubmed/?term=Ipcef1", "Ipcef1")</f>
        <v>Ipcef1</v>
      </c>
      <c r="C385" s="12">
        <v>-1.323</v>
      </c>
      <c r="D385" s="12">
        <v>0.99909999999999999</v>
      </c>
      <c r="E385" s="20">
        <v>4.9489999999999998</v>
      </c>
    </row>
    <row r="386" spans="1:5" x14ac:dyDescent="0.25">
      <c r="A386" t="s">
        <v>2070</v>
      </c>
      <c r="B386" s="1" t="str">
        <f>HYPERLINK("http://www.ncbi.nlm.nih.gov/pubmed/?term=Tdp1", "Tdp1")</f>
        <v>Tdp1</v>
      </c>
      <c r="C386" s="22">
        <v>3.1840000000000002</v>
      </c>
      <c r="D386" s="3">
        <v>2.4220000000000002</v>
      </c>
      <c r="E386" s="4">
        <v>5.4539999999999997</v>
      </c>
    </row>
    <row r="387" spans="1:5" x14ac:dyDescent="0.25">
      <c r="A387" t="s">
        <v>1486</v>
      </c>
      <c r="B387" s="1" t="str">
        <f>HYPERLINK("http://www.ncbi.nlm.nih.gov/pubmed/?term=Tjp3", "Tjp3")</f>
        <v>Tjp3</v>
      </c>
      <c r="C387" s="12">
        <v>-0.91559999999999997</v>
      </c>
      <c r="D387" s="20">
        <v>4.0819999999999999</v>
      </c>
      <c r="E387" s="4">
        <v>5.6550000000000002</v>
      </c>
    </row>
    <row r="388" spans="1:5" x14ac:dyDescent="0.25">
      <c r="A388" t="s">
        <v>540</v>
      </c>
      <c r="B388" s="1" t="str">
        <f>HYPERLINK("http://www.ncbi.nlm.nih.gov/pubmed/?term=Papss2", "Papss2")</f>
        <v>Papss2</v>
      </c>
      <c r="C388" s="12">
        <v>-0.1497</v>
      </c>
      <c r="D388" s="22">
        <v>3.1869999999999998</v>
      </c>
      <c r="E388" s="4">
        <v>5.4450000000000003</v>
      </c>
    </row>
    <row r="389" spans="1:5" x14ac:dyDescent="0.25">
      <c r="A389" t="s">
        <v>1121</v>
      </c>
      <c r="B389" s="1" t="str">
        <f>HYPERLINK("http://www.ncbi.nlm.nih.gov/pubmed/?term=Rbm47", "Rbm47")</f>
        <v>Rbm47</v>
      </c>
      <c r="C389" s="20">
        <v>4.4909999999999997</v>
      </c>
      <c r="D389" s="22">
        <v>3.9950000000000001</v>
      </c>
      <c r="E389" s="4">
        <v>5.7450000000000001</v>
      </c>
    </row>
    <row r="390" spans="1:5" x14ac:dyDescent="0.25">
      <c r="A390" t="s">
        <v>2039</v>
      </c>
      <c r="B390" s="1" t="str">
        <f>HYPERLINK("http://www.ncbi.nlm.nih.gov/pubmed/?term=Pck1", "Pck1")</f>
        <v>Pck1</v>
      </c>
      <c r="C390" s="12">
        <v>-2.6819999999999999</v>
      </c>
      <c r="D390" s="12">
        <v>-0.14799999999999999</v>
      </c>
      <c r="E390" s="20">
        <v>4.702</v>
      </c>
    </row>
    <row r="391" spans="1:5" x14ac:dyDescent="0.25">
      <c r="A391" t="s">
        <v>1809</v>
      </c>
      <c r="B391" s="1" t="str">
        <f>HYPERLINK("http://www.ncbi.nlm.nih.gov/pubmed/?term=Cpeb4", "Cpeb4")</f>
        <v>Cpeb4</v>
      </c>
      <c r="C391" s="22">
        <v>3.1850000000000001</v>
      </c>
      <c r="D391" s="20">
        <v>4.4649999999999999</v>
      </c>
      <c r="E391" s="4">
        <v>5.734</v>
      </c>
    </row>
    <row r="392" spans="1:5" x14ac:dyDescent="0.25">
      <c r="A392" t="s">
        <v>321</v>
      </c>
      <c r="B392" s="1" t="str">
        <f>HYPERLINK("http://www.ncbi.nlm.nih.gov/pubmed/?term=Epyc", "Epyc")</f>
        <v>Epyc</v>
      </c>
      <c r="C392" s="12">
        <v>-3.653</v>
      </c>
      <c r="D392" s="11">
        <v>1.1850000000000001</v>
      </c>
      <c r="E392" s="20">
        <v>4.9610000000000003</v>
      </c>
    </row>
    <row r="393" spans="1:5" x14ac:dyDescent="0.25">
      <c r="A393" t="s">
        <v>65</v>
      </c>
      <c r="B393" s="1" t="str">
        <f>HYPERLINK("http://www.ncbi.nlm.nih.gov/pubmed/?term=Scamp2", "Scamp2")</f>
        <v>Scamp2</v>
      </c>
      <c r="C393" s="20">
        <v>4.1989999999999998</v>
      </c>
      <c r="D393" s="20">
        <v>4.7789999999999999</v>
      </c>
      <c r="E393" s="4">
        <v>5.7889999999999997</v>
      </c>
    </row>
    <row r="394" spans="1:5" x14ac:dyDescent="0.25">
      <c r="A394" t="s">
        <v>2011</v>
      </c>
      <c r="B394" s="1" t="str">
        <f>HYPERLINK("http://www.ncbi.nlm.nih.gov/pubmed/?term=Map3k15", "Map3k15")</f>
        <v>Map3k15</v>
      </c>
      <c r="C394" s="12">
        <v>-0.99509999999999998</v>
      </c>
      <c r="D394" s="3">
        <v>2.778</v>
      </c>
      <c r="E394" s="4">
        <v>5.3220000000000001</v>
      </c>
    </row>
    <row r="395" spans="1:5" x14ac:dyDescent="0.25">
      <c r="A395" t="s">
        <v>598</v>
      </c>
      <c r="B395" s="1" t="str">
        <f>HYPERLINK("http://www.ncbi.nlm.nih.gov/pubmed/?term=Adam19", "Adam19")</f>
        <v>Adam19</v>
      </c>
      <c r="C395" s="22">
        <v>3.1349999999999998</v>
      </c>
      <c r="D395" s="3">
        <v>2.4079999999999999</v>
      </c>
      <c r="E395" s="4">
        <v>5.3920000000000003</v>
      </c>
    </row>
    <row r="396" spans="1:5" x14ac:dyDescent="0.25">
      <c r="A396" t="s">
        <v>1156</v>
      </c>
      <c r="B396" s="1" t="str">
        <f>HYPERLINK("http://www.ncbi.nlm.nih.gov/pubmed/?term=Etv3", "Etv3")</f>
        <v>Etv3</v>
      </c>
      <c r="C396" s="20">
        <v>4.1520000000000001</v>
      </c>
      <c r="D396" s="22">
        <v>3.7850000000000001</v>
      </c>
      <c r="E396" s="4">
        <v>5.6230000000000002</v>
      </c>
    </row>
    <row r="397" spans="1:5" x14ac:dyDescent="0.25">
      <c r="A397" t="s">
        <v>798</v>
      </c>
      <c r="B397" s="1" t="str">
        <f>HYPERLINK("http://www.ncbi.nlm.nih.gov/pubmed/?term=Tlr9", "Tlr9")</f>
        <v>Tlr9</v>
      </c>
      <c r="C397" s="12">
        <v>-4.0460000000000003</v>
      </c>
      <c r="D397" s="12">
        <v>-8.2879999999999995E-2</v>
      </c>
      <c r="E397" s="20">
        <v>4.6589999999999998</v>
      </c>
    </row>
    <row r="398" spans="1:5" x14ac:dyDescent="0.25">
      <c r="A398" t="s">
        <v>1035</v>
      </c>
      <c r="B398" s="1" t="str">
        <f>HYPERLINK("http://www.ncbi.nlm.nih.gov/pubmed/?term=Rasd1", "Rasd1")</f>
        <v>Rasd1</v>
      </c>
      <c r="C398" s="12">
        <v>-0.12379999999999999</v>
      </c>
      <c r="D398" s="22">
        <v>3.5990000000000002</v>
      </c>
      <c r="E398" s="4">
        <v>5.4880000000000004</v>
      </c>
    </row>
    <row r="399" spans="1:5" x14ac:dyDescent="0.25">
      <c r="A399" t="s">
        <v>607</v>
      </c>
      <c r="B399" s="1" t="str">
        <f>HYPERLINK("http://www.ncbi.nlm.nih.gov/pubmed/?term=Lrrc45", "Lrrc45")</f>
        <v>Lrrc45</v>
      </c>
      <c r="C399" s="20">
        <v>4.242</v>
      </c>
      <c r="D399" s="20">
        <v>4.3250000000000002</v>
      </c>
      <c r="E399" s="4">
        <v>5.6529999999999996</v>
      </c>
    </row>
    <row r="400" spans="1:5" x14ac:dyDescent="0.25">
      <c r="A400" t="s">
        <v>148</v>
      </c>
      <c r="B400" s="1" t="str">
        <f>HYPERLINK("http://www.ncbi.nlm.nih.gov/pubmed/?term=Mia1", "Mia1")</f>
        <v>Mia1</v>
      </c>
      <c r="C400" s="12">
        <v>-3.3319999999999999</v>
      </c>
      <c r="D400" s="12">
        <v>0.35620000000000002</v>
      </c>
      <c r="E400" s="20">
        <v>4.7329999999999997</v>
      </c>
    </row>
    <row r="401" spans="1:5" x14ac:dyDescent="0.25">
      <c r="A401" t="s">
        <v>258</v>
      </c>
      <c r="B401" s="1" t="str">
        <f>HYPERLINK("http://www.ncbi.nlm.nih.gov/pubmed/?term=Pcdh7", "Pcdh7")</f>
        <v>Pcdh7</v>
      </c>
      <c r="C401" s="12">
        <v>-2.8379999999999999E-2</v>
      </c>
      <c r="D401" s="22">
        <v>3.6970000000000001</v>
      </c>
      <c r="E401" s="4">
        <v>5.5049999999999999</v>
      </c>
    </row>
    <row r="402" spans="1:5" x14ac:dyDescent="0.25">
      <c r="A402" t="s">
        <v>2064</v>
      </c>
      <c r="B402" s="1" t="str">
        <f>HYPERLINK("http://www.ncbi.nlm.nih.gov/pubmed/?term=Iqsec1", "Iqsec1")</f>
        <v>Iqsec1</v>
      </c>
      <c r="C402" s="22">
        <v>3.9180000000000001</v>
      </c>
      <c r="D402" s="20">
        <v>4.0129999999999999</v>
      </c>
      <c r="E402" s="4">
        <v>5.5759999999999996</v>
      </c>
    </row>
    <row r="403" spans="1:5" x14ac:dyDescent="0.25">
      <c r="A403" t="s">
        <v>876</v>
      </c>
      <c r="B403" s="1" t="str">
        <f>HYPERLINK("http://www.ncbi.nlm.nih.gov/pubmed/?term=Gtf2a1", "Gtf2a1")</f>
        <v>Gtf2a1</v>
      </c>
      <c r="C403" s="22">
        <v>3.3250000000000002</v>
      </c>
      <c r="D403" s="22">
        <v>3.4359999999999999</v>
      </c>
      <c r="E403" s="4">
        <v>5.4409999999999998</v>
      </c>
    </row>
    <row r="404" spans="1:5" x14ac:dyDescent="0.25">
      <c r="A404" t="s">
        <v>793</v>
      </c>
      <c r="B404" s="1" t="str">
        <f>HYPERLINK("http://www.ncbi.nlm.nih.gov/pubmed/?term=Arrb2", "Arrb2")</f>
        <v>Arrb2</v>
      </c>
      <c r="C404" s="22">
        <v>3.403</v>
      </c>
      <c r="D404" s="20">
        <v>4.1059999999999999</v>
      </c>
      <c r="E404" s="4">
        <v>5.5940000000000003</v>
      </c>
    </row>
    <row r="405" spans="1:5" x14ac:dyDescent="0.25">
      <c r="A405" t="s">
        <v>898</v>
      </c>
      <c r="B405" s="1" t="str">
        <f>HYPERLINK("http://www.ncbi.nlm.nih.gov/pubmed/?term=Siglec15", "Siglec15")</f>
        <v>Siglec15</v>
      </c>
      <c r="C405" s="12">
        <v>-4.3470000000000004</v>
      </c>
      <c r="D405" s="12">
        <v>-1.431</v>
      </c>
      <c r="E405" s="20">
        <v>4.641</v>
      </c>
    </row>
    <row r="406" spans="1:5" x14ac:dyDescent="0.25">
      <c r="A406" t="s">
        <v>1974</v>
      </c>
      <c r="B406" s="1" t="str">
        <f>HYPERLINK("http://www.ncbi.nlm.nih.gov/pubmed/?term=Npsr1", "Npsr1")</f>
        <v>Npsr1</v>
      </c>
      <c r="C406" s="12">
        <v>7.3880000000000001E-2</v>
      </c>
      <c r="D406" s="12">
        <v>-0.3543</v>
      </c>
      <c r="E406" s="20">
        <v>4.657</v>
      </c>
    </row>
    <row r="407" spans="1:5" x14ac:dyDescent="0.25">
      <c r="A407" t="s">
        <v>1367</v>
      </c>
      <c r="B407" s="1" t="str">
        <f>HYPERLINK("http://www.ncbi.nlm.nih.gov/pubmed/?term=Rnaseh2b", "Rnaseh2b")</f>
        <v>Rnaseh2b</v>
      </c>
      <c r="C407" s="22">
        <v>3.6480000000000001</v>
      </c>
      <c r="D407" s="20">
        <v>4.2549999999999999</v>
      </c>
      <c r="E407" s="4">
        <v>5.617</v>
      </c>
    </row>
    <row r="408" spans="1:5" x14ac:dyDescent="0.25">
      <c r="A408" t="s">
        <v>1069</v>
      </c>
      <c r="B408" s="1" t="str">
        <f>HYPERLINK("http://www.ncbi.nlm.nih.gov/pubmed/?term=Stxbp6", "Stxbp6")</f>
        <v>Stxbp6</v>
      </c>
      <c r="C408" s="22">
        <v>3.9710000000000001</v>
      </c>
      <c r="D408" s="22">
        <v>3.073</v>
      </c>
      <c r="E408" s="4">
        <v>5.5490000000000004</v>
      </c>
    </row>
    <row r="409" spans="1:5" x14ac:dyDescent="0.25">
      <c r="A409" t="s">
        <v>1341</v>
      </c>
      <c r="B409" s="1" t="str">
        <f>HYPERLINK("http://www.ncbi.nlm.nih.gov/pubmed/?term=Gtpbp1", "Gtpbp1")</f>
        <v>Gtpbp1</v>
      </c>
      <c r="C409" s="22">
        <v>3.444</v>
      </c>
      <c r="D409" s="22">
        <v>3.9329999999999998</v>
      </c>
      <c r="E409" s="4">
        <v>5.54</v>
      </c>
    </row>
    <row r="410" spans="1:5" x14ac:dyDescent="0.25">
      <c r="A410" t="s">
        <v>619</v>
      </c>
      <c r="B410" s="1" t="str">
        <f>HYPERLINK("http://www.ncbi.nlm.nih.gov/pubmed/?term=Rnf180", "Rnf180")</f>
        <v>Rnf180</v>
      </c>
      <c r="C410" s="22">
        <v>3.2530000000000001</v>
      </c>
      <c r="D410" s="20">
        <v>4.2759999999999998</v>
      </c>
      <c r="E410" s="4">
        <v>5.6180000000000003</v>
      </c>
    </row>
    <row r="411" spans="1:5" x14ac:dyDescent="0.25">
      <c r="A411" t="s">
        <v>1750</v>
      </c>
      <c r="B411" s="1" t="str">
        <f>HYPERLINK("http://www.ncbi.nlm.nih.gov/pubmed/?term=Rassf3", "Rassf3")</f>
        <v>Rassf3</v>
      </c>
      <c r="C411" s="22">
        <v>3.5710000000000002</v>
      </c>
      <c r="D411" s="22">
        <v>3.5920000000000001</v>
      </c>
      <c r="E411" s="4">
        <v>5.4589999999999996</v>
      </c>
    </row>
    <row r="412" spans="1:5" x14ac:dyDescent="0.25">
      <c r="A412" t="s">
        <v>238</v>
      </c>
      <c r="B412" s="1" t="str">
        <f>HYPERLINK("http://www.ncbi.nlm.nih.gov/pubmed/?term=Obfc2a", "Obfc2a")</f>
        <v>Obfc2a</v>
      </c>
      <c r="C412" s="22">
        <v>3.4820000000000002</v>
      </c>
      <c r="D412" s="3">
        <v>2.8109999999999999</v>
      </c>
      <c r="E412" s="4">
        <v>5.4290000000000003</v>
      </c>
    </row>
    <row r="413" spans="1:5" x14ac:dyDescent="0.25">
      <c r="A413" t="s">
        <v>1822</v>
      </c>
      <c r="B413" s="1" t="str">
        <f>HYPERLINK("http://www.ncbi.nlm.nih.gov/pubmed/?term=Kctd13", "Kctd13")</f>
        <v>Kctd13</v>
      </c>
      <c r="C413" s="3">
        <v>2.9180000000000001</v>
      </c>
      <c r="D413" s="22">
        <v>3.9169999999999998</v>
      </c>
      <c r="E413" s="4">
        <v>5.5229999999999997</v>
      </c>
    </row>
    <row r="414" spans="1:5" x14ac:dyDescent="0.25">
      <c r="A414" t="s">
        <v>830</v>
      </c>
      <c r="B414" s="1" t="str">
        <f>HYPERLINK("http://www.ncbi.nlm.nih.gov/pubmed/?term=Runx3", "Runx3")</f>
        <v>Runx3</v>
      </c>
      <c r="C414" s="12">
        <v>-1.446</v>
      </c>
      <c r="D414" s="3">
        <v>2.048</v>
      </c>
      <c r="E414" s="4">
        <v>5.0860000000000003</v>
      </c>
    </row>
    <row r="415" spans="1:5" x14ac:dyDescent="0.25">
      <c r="A415" t="s">
        <v>470</v>
      </c>
      <c r="B415" s="1" t="str">
        <f>HYPERLINK("http://www.ncbi.nlm.nih.gov/pubmed/?term=Metrnl", "Metrnl")</f>
        <v>Metrnl</v>
      </c>
      <c r="C415" s="3">
        <v>2.8570000000000002</v>
      </c>
      <c r="D415" s="22">
        <v>3.1909999999999998</v>
      </c>
      <c r="E415" s="4">
        <v>5.3490000000000002</v>
      </c>
    </row>
    <row r="416" spans="1:5" x14ac:dyDescent="0.25">
      <c r="A416" t="s">
        <v>302</v>
      </c>
      <c r="B416" s="1" t="str">
        <f>HYPERLINK("http://www.ncbi.nlm.nih.gov/pubmed/?term=Celsr1", "Celsr1")</f>
        <v>Celsr1</v>
      </c>
      <c r="C416" s="22">
        <v>3.992</v>
      </c>
      <c r="D416" s="20">
        <v>4.6630000000000003</v>
      </c>
      <c r="E416" s="4">
        <v>5.6859999999999999</v>
      </c>
    </row>
    <row r="417" spans="1:5" x14ac:dyDescent="0.25">
      <c r="A417" t="s">
        <v>729</v>
      </c>
      <c r="B417" s="1" t="str">
        <f>HYPERLINK("http://www.ncbi.nlm.nih.gov/pubmed/?term=Fam114a2", "Fam114a2")</f>
        <v>Fam114a2</v>
      </c>
      <c r="C417" s="20">
        <v>4.5449999999999999</v>
      </c>
      <c r="D417" s="20">
        <v>4.2610000000000001</v>
      </c>
      <c r="E417" s="4">
        <v>5.6520000000000001</v>
      </c>
    </row>
    <row r="418" spans="1:5" x14ac:dyDescent="0.25">
      <c r="A418" t="s">
        <v>19</v>
      </c>
      <c r="B418" s="1" t="str">
        <f>HYPERLINK("http://www.ncbi.nlm.nih.gov/pubmed/?term=Ccl5", "Ccl5")</f>
        <v>Ccl5</v>
      </c>
      <c r="C418" s="3">
        <v>2.6739999999999999</v>
      </c>
      <c r="D418" s="22">
        <v>3.2469999999999999</v>
      </c>
      <c r="E418" s="4">
        <v>5.35</v>
      </c>
    </row>
    <row r="419" spans="1:5" x14ac:dyDescent="0.25">
      <c r="A419" t="s">
        <v>900</v>
      </c>
      <c r="B419" s="1" t="str">
        <f>HYPERLINK("http://www.ncbi.nlm.nih.gov/pubmed/?term=Arhgap18", "Arhgap18")</f>
        <v>Arhgap18</v>
      </c>
      <c r="C419" s="11">
        <v>1.768</v>
      </c>
      <c r="D419" s="22">
        <v>3.1080000000000001</v>
      </c>
      <c r="E419" s="4">
        <v>5.3120000000000003</v>
      </c>
    </row>
    <row r="420" spans="1:5" x14ac:dyDescent="0.25">
      <c r="A420" t="s">
        <v>944</v>
      </c>
      <c r="B420" s="1" t="str">
        <f>HYPERLINK("http://www.ncbi.nlm.nih.gov/pubmed/?term=Dph5", "Dph5")</f>
        <v>Dph5</v>
      </c>
      <c r="C420" s="20">
        <v>4.4870000000000001</v>
      </c>
      <c r="D420" s="3">
        <v>2.9910000000000001</v>
      </c>
      <c r="E420" s="4">
        <v>5.6310000000000002</v>
      </c>
    </row>
    <row r="421" spans="1:5" x14ac:dyDescent="0.25">
      <c r="A421" t="s">
        <v>1841</v>
      </c>
      <c r="B421" s="1" t="str">
        <f>HYPERLINK("http://www.ncbi.nlm.nih.gov/pubmed/?term=Psd3", "Psd3")</f>
        <v>Psd3</v>
      </c>
      <c r="C421" s="11">
        <v>1.3220000000000001</v>
      </c>
      <c r="D421" s="3">
        <v>2.734</v>
      </c>
      <c r="E421" s="4">
        <v>5.2220000000000004</v>
      </c>
    </row>
    <row r="422" spans="1:5" x14ac:dyDescent="0.25">
      <c r="A422" t="s">
        <v>1185</v>
      </c>
      <c r="B422" s="1" t="str">
        <f>HYPERLINK("http://www.ncbi.nlm.nih.gov/pubmed/?term=Irf4", "Irf4")</f>
        <v>Irf4</v>
      </c>
      <c r="C422" s="12">
        <v>-0.87190000000000001</v>
      </c>
      <c r="D422" s="3">
        <v>2.786</v>
      </c>
      <c r="E422" s="4">
        <v>5.2329999999999997</v>
      </c>
    </row>
    <row r="423" spans="1:5" x14ac:dyDescent="0.25">
      <c r="A423" t="s">
        <v>637</v>
      </c>
      <c r="B423" s="1" t="str">
        <f>HYPERLINK("http://www.ncbi.nlm.nih.gov/pubmed/?term=Aim1", "Aim1")</f>
        <v>Aim1</v>
      </c>
      <c r="C423" s="12">
        <v>0.13819999999999999</v>
      </c>
      <c r="D423" s="20">
        <v>4.4619999999999997</v>
      </c>
      <c r="E423" s="4">
        <v>5.62</v>
      </c>
    </row>
    <row r="424" spans="1:5" x14ac:dyDescent="0.25">
      <c r="A424" t="s">
        <v>1120</v>
      </c>
      <c r="B424" s="1" t="str">
        <f>HYPERLINK("http://www.ncbi.nlm.nih.gov/pubmed/?term=Unc93a", "Unc93a")</f>
        <v>Unc93a</v>
      </c>
      <c r="C424" s="12">
        <v>-3.859</v>
      </c>
      <c r="D424" s="12">
        <v>-0.74109999999999998</v>
      </c>
      <c r="E424" s="20">
        <v>4.5819999999999999</v>
      </c>
    </row>
    <row r="425" spans="1:5" x14ac:dyDescent="0.25">
      <c r="A425" t="s">
        <v>1773</v>
      </c>
      <c r="B425" s="1" t="str">
        <f>HYPERLINK("http://www.ncbi.nlm.nih.gov/pubmed/?term=Cnpy3", "Cnpy3")</f>
        <v>Cnpy3</v>
      </c>
      <c r="C425" s="22">
        <v>3.9940000000000002</v>
      </c>
      <c r="D425" s="20">
        <v>4.3040000000000003</v>
      </c>
      <c r="E425" s="4">
        <v>5.5780000000000003</v>
      </c>
    </row>
    <row r="426" spans="1:5" x14ac:dyDescent="0.25">
      <c r="A426" t="s">
        <v>1012</v>
      </c>
      <c r="B426" s="1" t="str">
        <f>HYPERLINK("http://www.ncbi.nlm.nih.gov/pubmed/?term=Wnt10b", "Wnt10b")</f>
        <v>Wnt10b</v>
      </c>
      <c r="C426" s="12">
        <v>-1.7629999999999999</v>
      </c>
      <c r="D426" s="22">
        <v>3.2189999999999999</v>
      </c>
      <c r="E426" s="4">
        <v>5.327</v>
      </c>
    </row>
    <row r="427" spans="1:5" x14ac:dyDescent="0.25">
      <c r="A427" t="s">
        <v>135</v>
      </c>
      <c r="B427" s="1" t="str">
        <f>HYPERLINK("http://www.ncbi.nlm.nih.gov/pubmed/?term=Vdr", "Vdr")</f>
        <v>Vdr</v>
      </c>
      <c r="C427" s="3">
        <v>2.246</v>
      </c>
      <c r="D427" s="22">
        <v>3.8290000000000002</v>
      </c>
      <c r="E427" s="4">
        <v>5.46</v>
      </c>
    </row>
    <row r="428" spans="1:5" x14ac:dyDescent="0.25">
      <c r="A428" t="s">
        <v>1783</v>
      </c>
      <c r="B428" s="1" t="str">
        <f>HYPERLINK("http://www.ncbi.nlm.nih.gov/pubmed/?term=Ttc39a", "Ttc39a")</f>
        <v>Ttc39a</v>
      </c>
      <c r="C428" s="22">
        <v>3.363</v>
      </c>
      <c r="D428" s="3">
        <v>2.944</v>
      </c>
      <c r="E428" s="4">
        <v>5.35</v>
      </c>
    </row>
    <row r="429" spans="1:5" x14ac:dyDescent="0.25">
      <c r="A429" t="s">
        <v>678</v>
      </c>
      <c r="B429" s="1" t="str">
        <f>HYPERLINK("http://www.ncbi.nlm.nih.gov/pubmed/?term=Irak2", "Irak2")</f>
        <v>Irak2</v>
      </c>
      <c r="C429" s="11">
        <v>1.913</v>
      </c>
      <c r="D429" s="22">
        <v>3.3650000000000002</v>
      </c>
      <c r="E429" s="4">
        <v>5.35</v>
      </c>
    </row>
    <row r="430" spans="1:5" x14ac:dyDescent="0.25">
      <c r="A430" t="s">
        <v>1810</v>
      </c>
      <c r="B430" s="1" t="str">
        <f>HYPERLINK("http://www.ncbi.nlm.nih.gov/pubmed/?term=Cnnm2", "Cnnm2")</f>
        <v>Cnnm2</v>
      </c>
      <c r="C430" s="12">
        <v>0.6179</v>
      </c>
      <c r="D430" s="11">
        <v>1.9079999999999999</v>
      </c>
      <c r="E430" s="4">
        <v>5.0129999999999999</v>
      </c>
    </row>
    <row r="431" spans="1:5" x14ac:dyDescent="0.25">
      <c r="A431" t="s">
        <v>1989</v>
      </c>
      <c r="B431" s="1" t="str">
        <f>HYPERLINK("http://www.ncbi.nlm.nih.gov/pubmed/?term=Fabp9", "Fabp9")</f>
        <v>Fabp9</v>
      </c>
      <c r="C431" s="12">
        <v>-1.339</v>
      </c>
      <c r="D431" s="3">
        <v>2.5390000000000001</v>
      </c>
      <c r="E431" s="4">
        <v>5.1559999999999997</v>
      </c>
    </row>
    <row r="432" spans="1:5" x14ac:dyDescent="0.25">
      <c r="A432" t="s">
        <v>957</v>
      </c>
      <c r="B432" s="1" t="str">
        <f>HYPERLINK("http://www.ncbi.nlm.nih.gov/pubmed/?term=Adam9", "Adam9")</f>
        <v>Adam9</v>
      </c>
      <c r="C432" s="20">
        <v>4.0780000000000003</v>
      </c>
      <c r="D432" s="20">
        <v>4.149</v>
      </c>
      <c r="E432" s="4">
        <v>5.5209999999999999</v>
      </c>
    </row>
    <row r="433" spans="1:5" x14ac:dyDescent="0.25">
      <c r="A433" t="s">
        <v>1630</v>
      </c>
      <c r="B433" s="1" t="str">
        <f>HYPERLINK("http://www.ncbi.nlm.nih.gov/pubmed/?term=Relt", "Relt")</f>
        <v>Relt</v>
      </c>
      <c r="C433" s="11">
        <v>1.012</v>
      </c>
      <c r="D433" s="20">
        <v>4.4400000000000004</v>
      </c>
      <c r="E433" s="4">
        <v>5.585</v>
      </c>
    </row>
    <row r="434" spans="1:5" x14ac:dyDescent="0.25">
      <c r="A434" t="s">
        <v>1553</v>
      </c>
      <c r="B434" s="1" t="str">
        <f>HYPERLINK("http://www.ncbi.nlm.nih.gov/pubmed/?term=Cygb", "Cygb")</f>
        <v>Cygb</v>
      </c>
      <c r="C434" s="11">
        <v>1.2090000000000001</v>
      </c>
      <c r="D434" s="11">
        <v>1.0629999999999999</v>
      </c>
      <c r="E434" s="20">
        <v>4.8360000000000003</v>
      </c>
    </row>
    <row r="435" spans="1:5" x14ac:dyDescent="0.25">
      <c r="A435" t="s">
        <v>1096</v>
      </c>
      <c r="B435" s="1" t="str">
        <f>HYPERLINK("http://www.ncbi.nlm.nih.gov/pubmed/?term=Btnl2", "Btnl2")</f>
        <v>Btnl2</v>
      </c>
      <c r="C435" s="12">
        <v>-2.8980000000000001</v>
      </c>
      <c r="D435" s="12">
        <v>9.4030000000000002E-2</v>
      </c>
      <c r="E435" s="20">
        <v>4.5780000000000003</v>
      </c>
    </row>
    <row r="436" spans="1:5" x14ac:dyDescent="0.25">
      <c r="A436" t="s">
        <v>1087</v>
      </c>
      <c r="B436" s="1" t="str">
        <f>HYPERLINK("http://www.ncbi.nlm.nih.gov/pubmed/?term=C130074G19Rik", "C130074G19Rik")</f>
        <v>C130074G19Rik</v>
      </c>
      <c r="C436" s="12">
        <v>-1.3169999999999999</v>
      </c>
      <c r="D436" s="11">
        <v>1.52</v>
      </c>
      <c r="E436" s="20">
        <v>4.9059999999999997</v>
      </c>
    </row>
    <row r="437" spans="1:5" x14ac:dyDescent="0.25">
      <c r="A437" t="s">
        <v>206</v>
      </c>
      <c r="B437" s="1" t="str">
        <f>HYPERLINK("http://www.ncbi.nlm.nih.gov/pubmed/?term=Bpifc", "Bpifc")</f>
        <v>Bpifc</v>
      </c>
      <c r="C437" s="12">
        <v>-0.44090000000000001</v>
      </c>
      <c r="D437" s="11">
        <v>1.3620000000000001</v>
      </c>
      <c r="E437" s="20">
        <v>4.8609999999999998</v>
      </c>
    </row>
    <row r="438" spans="1:5" x14ac:dyDescent="0.25">
      <c r="A438" t="s">
        <v>1376</v>
      </c>
      <c r="B438" s="1" t="str">
        <f>HYPERLINK("http://www.ncbi.nlm.nih.gov/pubmed/?term=Man1b1", "Man1b1")</f>
        <v>Man1b1</v>
      </c>
      <c r="C438" s="20">
        <v>4.1790000000000003</v>
      </c>
      <c r="D438" s="20">
        <v>4.2039999999999997</v>
      </c>
      <c r="E438" s="4">
        <v>5.516</v>
      </c>
    </row>
    <row r="439" spans="1:5" x14ac:dyDescent="0.25">
      <c r="A439" t="s">
        <v>716</v>
      </c>
      <c r="B439" s="1" t="str">
        <f>HYPERLINK("http://www.ncbi.nlm.nih.gov/pubmed/?term=Ier5", "Ier5")</f>
        <v>Ier5</v>
      </c>
      <c r="C439" s="3">
        <v>2.5179999999999998</v>
      </c>
      <c r="D439" s="20">
        <v>4.3609999999999998</v>
      </c>
      <c r="E439" s="4">
        <v>5.55</v>
      </c>
    </row>
    <row r="440" spans="1:5" x14ac:dyDescent="0.25">
      <c r="A440" t="s">
        <v>1811</v>
      </c>
      <c r="B440" s="1" t="str">
        <f>HYPERLINK("http://www.ncbi.nlm.nih.gov/pubmed/?term=Bmp3", "Bmp3")</f>
        <v>Bmp3</v>
      </c>
      <c r="C440" s="12">
        <v>-2.585</v>
      </c>
      <c r="D440" s="3">
        <v>2.1880000000000002</v>
      </c>
      <c r="E440" s="4">
        <v>5.0460000000000003</v>
      </c>
    </row>
    <row r="441" spans="1:5" x14ac:dyDescent="0.25">
      <c r="A441" t="s">
        <v>388</v>
      </c>
      <c r="B441" s="1" t="str">
        <f>HYPERLINK("http://www.ncbi.nlm.nih.gov/pubmed/?term=Lrrk1", "Lrrk1")</f>
        <v>Lrrk1</v>
      </c>
      <c r="C441" s="22">
        <v>3.5419999999999998</v>
      </c>
      <c r="D441" s="20">
        <v>4.1619999999999999</v>
      </c>
      <c r="E441" s="4">
        <v>5.4989999999999997</v>
      </c>
    </row>
    <row r="442" spans="1:5" x14ac:dyDescent="0.25">
      <c r="A442" t="s">
        <v>1073</v>
      </c>
      <c r="B442" s="1" t="str">
        <f>HYPERLINK("http://www.ncbi.nlm.nih.gov/pubmed/?term=Arhgap44", "Arhgap44")</f>
        <v>Arhgap44</v>
      </c>
      <c r="C442" s="20">
        <v>4.3879999999999999</v>
      </c>
      <c r="D442" s="22">
        <v>3.1520000000000001</v>
      </c>
      <c r="E442" s="4">
        <v>5.5460000000000003</v>
      </c>
    </row>
    <row r="443" spans="1:5" x14ac:dyDescent="0.25">
      <c r="A443" t="s">
        <v>1962</v>
      </c>
      <c r="B443" s="1" t="str">
        <f>HYPERLINK("http://www.ncbi.nlm.nih.gov/pubmed/?term=Tbx21", "Tbx21")</f>
        <v>Tbx21</v>
      </c>
      <c r="C443" s="12">
        <v>-0.22559999999999999</v>
      </c>
      <c r="D443" s="12">
        <v>0.4007</v>
      </c>
      <c r="E443" s="20">
        <v>4.6219999999999999</v>
      </c>
    </row>
    <row r="444" spans="1:5" x14ac:dyDescent="0.25">
      <c r="A444" t="s">
        <v>85</v>
      </c>
      <c r="B444" s="1" t="str">
        <f>HYPERLINK("http://www.ncbi.nlm.nih.gov/pubmed/?term=Pappa2", "Pappa2")</f>
        <v>Pappa2</v>
      </c>
      <c r="C444" s="12">
        <v>-4.3719999999999999</v>
      </c>
      <c r="D444" s="12">
        <v>-0.39179999999999998</v>
      </c>
      <c r="E444" s="20">
        <v>4.5289999999999999</v>
      </c>
    </row>
    <row r="445" spans="1:5" x14ac:dyDescent="0.25">
      <c r="A445" t="s">
        <v>1024</v>
      </c>
      <c r="B445" s="1" t="str">
        <f>HYPERLINK("http://www.ncbi.nlm.nih.gov/pubmed/?term=Dnaic2", "Dnaic2")</f>
        <v>Dnaic2</v>
      </c>
      <c r="C445" s="12">
        <v>-1.401</v>
      </c>
      <c r="D445" s="11">
        <v>1.645</v>
      </c>
      <c r="E445" s="20">
        <v>4.9089999999999998</v>
      </c>
    </row>
    <row r="446" spans="1:5" x14ac:dyDescent="0.25">
      <c r="A446" t="s">
        <v>749</v>
      </c>
      <c r="B446" s="1" t="str">
        <f>HYPERLINK("http://www.ncbi.nlm.nih.gov/pubmed/?term=Arfgef2", "Arfgef2")</f>
        <v>Arfgef2</v>
      </c>
      <c r="C446" s="20">
        <v>4.2530000000000001</v>
      </c>
      <c r="D446" s="22">
        <v>3.3410000000000002</v>
      </c>
      <c r="E446" s="4">
        <v>5.5110000000000001</v>
      </c>
    </row>
    <row r="447" spans="1:5" x14ac:dyDescent="0.25">
      <c r="A447" t="s">
        <v>268</v>
      </c>
      <c r="B447" s="1" t="str">
        <f>HYPERLINK("http://www.ncbi.nlm.nih.gov/pubmed/?term=Tbcd", "Tbcd")</f>
        <v>Tbcd</v>
      </c>
      <c r="C447" s="22">
        <v>3.7160000000000002</v>
      </c>
      <c r="D447" s="20">
        <v>4.1840000000000002</v>
      </c>
      <c r="E447" s="4">
        <v>5.49</v>
      </c>
    </row>
    <row r="448" spans="1:5" x14ac:dyDescent="0.25">
      <c r="A448" t="s">
        <v>307</v>
      </c>
      <c r="B448" s="1" t="str">
        <f>HYPERLINK("http://www.ncbi.nlm.nih.gov/pubmed/?term=Hps4", "Hps4")</f>
        <v>Hps4</v>
      </c>
      <c r="C448" s="3">
        <v>2.786</v>
      </c>
      <c r="D448" s="3">
        <v>2.79</v>
      </c>
      <c r="E448" s="4">
        <v>5.1639999999999997</v>
      </c>
    </row>
    <row r="449" spans="1:5" x14ac:dyDescent="0.25">
      <c r="A449" t="s">
        <v>1544</v>
      </c>
      <c r="B449" s="1" t="str">
        <f>HYPERLINK("http://www.ncbi.nlm.nih.gov/pubmed/?term=Adam11", "Adam11")</f>
        <v>Adam11</v>
      </c>
      <c r="C449" s="12">
        <v>-1.5289999999999999</v>
      </c>
      <c r="D449" s="12">
        <v>-4.1869999999999997E-2</v>
      </c>
      <c r="E449" s="20">
        <v>4.5170000000000003</v>
      </c>
    </row>
    <row r="450" spans="1:5" x14ac:dyDescent="0.25">
      <c r="A450" t="s">
        <v>191</v>
      </c>
      <c r="B450" s="1" t="str">
        <f>HYPERLINK("http://www.ncbi.nlm.nih.gov/pubmed/?term=Cyb5r4", "Cyb5r4")</f>
        <v>Cyb5r4</v>
      </c>
      <c r="C450" s="20">
        <v>4.149</v>
      </c>
      <c r="D450" s="20">
        <v>4.3230000000000004</v>
      </c>
      <c r="E450" s="4">
        <v>5.5129999999999999</v>
      </c>
    </row>
    <row r="451" spans="1:5" x14ac:dyDescent="0.25">
      <c r="A451" t="s">
        <v>336</v>
      </c>
      <c r="B451" s="1" t="str">
        <f>HYPERLINK("http://www.ncbi.nlm.nih.gov/pubmed/?term=Fam55c", "Fam55c")</f>
        <v>Fam55c</v>
      </c>
      <c r="C451" s="12">
        <v>-0.93120000000000003</v>
      </c>
      <c r="D451" s="11">
        <v>1.25</v>
      </c>
      <c r="E451" s="20">
        <v>4.7969999999999997</v>
      </c>
    </row>
    <row r="452" spans="1:5" x14ac:dyDescent="0.25">
      <c r="A452" t="s">
        <v>1736</v>
      </c>
      <c r="B452" s="1" t="str">
        <f>HYPERLINK("http://www.ncbi.nlm.nih.gov/pubmed/?term=Phf17", "Phf17")</f>
        <v>Phf17</v>
      </c>
      <c r="C452" s="22">
        <v>3.0430000000000001</v>
      </c>
      <c r="D452" s="22">
        <v>3.4289999999999998</v>
      </c>
      <c r="E452" s="4">
        <v>5.3</v>
      </c>
    </row>
    <row r="453" spans="1:5" x14ac:dyDescent="0.25">
      <c r="A453" t="s">
        <v>810</v>
      </c>
      <c r="B453" s="1" t="str">
        <f>HYPERLINK("http://www.ncbi.nlm.nih.gov/pubmed/?term=Slc5a8", "Slc5a8")</f>
        <v>Slc5a8</v>
      </c>
      <c r="C453" s="12">
        <v>-1.397</v>
      </c>
      <c r="D453" s="11">
        <v>1.0569999999999999</v>
      </c>
      <c r="E453" s="20">
        <v>4.74</v>
      </c>
    </row>
    <row r="454" spans="1:5" x14ac:dyDescent="0.25">
      <c r="A454" t="s">
        <v>819</v>
      </c>
      <c r="B454" s="1" t="str">
        <f>HYPERLINK("http://www.ncbi.nlm.nih.gov/pubmed/?term=Jarid2", "Jarid2")</f>
        <v>Jarid2</v>
      </c>
      <c r="C454" s="22">
        <v>3.8639999999999999</v>
      </c>
      <c r="D454" s="22">
        <v>3.9870000000000001</v>
      </c>
      <c r="E454" s="4">
        <v>5.4180000000000001</v>
      </c>
    </row>
    <row r="455" spans="1:5" x14ac:dyDescent="0.25">
      <c r="A455" t="s">
        <v>1086</v>
      </c>
      <c r="B455" s="1" t="str">
        <f>HYPERLINK("http://www.ncbi.nlm.nih.gov/pubmed/?term=Fam102b", "Fam102b")</f>
        <v>Fam102b</v>
      </c>
      <c r="C455" s="22">
        <v>3.2349999999999999</v>
      </c>
      <c r="D455" s="22">
        <v>3.1789999999999998</v>
      </c>
      <c r="E455" s="4">
        <v>5.2430000000000003</v>
      </c>
    </row>
    <row r="456" spans="1:5" x14ac:dyDescent="0.25">
      <c r="A456" t="s">
        <v>516</v>
      </c>
      <c r="B456" s="1" t="str">
        <f>HYPERLINK("http://www.ncbi.nlm.nih.gov/pubmed/?term=Zfp238", "Zfp238")</f>
        <v>Zfp238</v>
      </c>
      <c r="C456" s="20">
        <v>4.1619999999999999</v>
      </c>
      <c r="D456" s="20">
        <v>4.2409999999999997</v>
      </c>
      <c r="E456" s="4">
        <v>5.4710000000000001</v>
      </c>
    </row>
    <row r="457" spans="1:5" x14ac:dyDescent="0.25">
      <c r="A457" t="s">
        <v>1885</v>
      </c>
      <c r="B457" s="1" t="str">
        <f>HYPERLINK("http://www.ncbi.nlm.nih.gov/pubmed/?term=Plscr1", "Plscr1")</f>
        <v>Plscr1</v>
      </c>
      <c r="C457" s="20">
        <v>4.298</v>
      </c>
      <c r="D457" s="20">
        <v>4.4509999999999996</v>
      </c>
      <c r="E457" s="4">
        <v>5.5190000000000001</v>
      </c>
    </row>
    <row r="458" spans="1:5" x14ac:dyDescent="0.25">
      <c r="A458" t="s">
        <v>1550</v>
      </c>
      <c r="B458" s="1" t="str">
        <f>HYPERLINK("http://www.ncbi.nlm.nih.gov/pubmed/?term=Cfb", "Cfb")</f>
        <v>Cfb</v>
      </c>
      <c r="C458" s="12">
        <v>-0.34200000000000003</v>
      </c>
      <c r="D458" s="3">
        <v>2.3050000000000002</v>
      </c>
      <c r="E458" s="4">
        <v>5.0209999999999999</v>
      </c>
    </row>
    <row r="459" spans="1:5" x14ac:dyDescent="0.25">
      <c r="A459" t="s">
        <v>706</v>
      </c>
      <c r="B459" s="1" t="str">
        <f>HYPERLINK("http://www.ncbi.nlm.nih.gov/pubmed/?term=Pcbp4", "Pcbp4")</f>
        <v>Pcbp4</v>
      </c>
      <c r="C459" s="22">
        <v>3.391</v>
      </c>
      <c r="D459" s="20">
        <v>4.423</v>
      </c>
      <c r="E459" s="4">
        <v>5.5049999999999999</v>
      </c>
    </row>
    <row r="460" spans="1:5" x14ac:dyDescent="0.25">
      <c r="A460" t="s">
        <v>584</v>
      </c>
      <c r="B460" s="1" t="str">
        <f>HYPERLINK("http://www.ncbi.nlm.nih.gov/pubmed/?term=Traf2", "Traf2")</f>
        <v>Traf2</v>
      </c>
      <c r="C460" s="20">
        <v>4.1280000000000001</v>
      </c>
      <c r="D460" s="20">
        <v>4.3479999999999999</v>
      </c>
      <c r="E460" s="4">
        <v>5.4850000000000003</v>
      </c>
    </row>
    <row r="461" spans="1:5" x14ac:dyDescent="0.25">
      <c r="A461" t="s">
        <v>1470</v>
      </c>
      <c r="B461" s="1" t="str">
        <f>HYPERLINK("http://www.ncbi.nlm.nih.gov/pubmed/?term=Pld4", "Pld4")</f>
        <v>Pld4</v>
      </c>
      <c r="C461" s="12">
        <v>-0.87429999999999997</v>
      </c>
      <c r="D461" s="12">
        <v>-0.20519999999999999</v>
      </c>
      <c r="E461" s="20">
        <v>4.4779999999999998</v>
      </c>
    </row>
    <row r="462" spans="1:5" x14ac:dyDescent="0.25">
      <c r="A462" t="s">
        <v>29</v>
      </c>
      <c r="B462" s="1" t="str">
        <f>HYPERLINK("http://www.ncbi.nlm.nih.gov/pubmed/?term=Dtx2", "Dtx2")</f>
        <v>Dtx2</v>
      </c>
      <c r="C462" s="3">
        <v>2.6909999999999998</v>
      </c>
      <c r="D462" s="3">
        <v>2.81</v>
      </c>
      <c r="E462" s="4">
        <v>5.1230000000000002</v>
      </c>
    </row>
    <row r="463" spans="1:5" x14ac:dyDescent="0.25">
      <c r="A463" t="s">
        <v>1524</v>
      </c>
      <c r="B463" s="1" t="str">
        <f>HYPERLINK("http://www.ncbi.nlm.nih.gov/pubmed/?term=Liph", "Liph")</f>
        <v>Liph</v>
      </c>
      <c r="C463" s="12">
        <v>-2.3580000000000001</v>
      </c>
      <c r="D463" s="11">
        <v>1.946</v>
      </c>
      <c r="E463" s="20">
        <v>4.923</v>
      </c>
    </row>
    <row r="464" spans="1:5" x14ac:dyDescent="0.25">
      <c r="A464" t="s">
        <v>1247</v>
      </c>
      <c r="B464" s="1" t="str">
        <f>HYPERLINK("http://www.ncbi.nlm.nih.gov/pubmed/?term=Chi3l4", "Chi3l4")</f>
        <v>Chi3l4</v>
      </c>
      <c r="C464" s="12">
        <v>-1.8620000000000001</v>
      </c>
      <c r="D464" s="3">
        <v>2.5169999999999999</v>
      </c>
      <c r="E464" s="4">
        <v>5.0510000000000002</v>
      </c>
    </row>
    <row r="465" spans="1:5" x14ac:dyDescent="0.25">
      <c r="A465" t="s">
        <v>539</v>
      </c>
      <c r="B465" s="1" t="str">
        <f>HYPERLINK("http://www.ncbi.nlm.nih.gov/pubmed/?term=Gabpb1", "Gabpb1")</f>
        <v>Gabpb1</v>
      </c>
      <c r="C465" s="20">
        <v>4.1130000000000004</v>
      </c>
      <c r="D465" s="20">
        <v>4.0510000000000002</v>
      </c>
      <c r="E465" s="4">
        <v>5.4080000000000004</v>
      </c>
    </row>
    <row r="466" spans="1:5" x14ac:dyDescent="0.25">
      <c r="A466" t="s">
        <v>767</v>
      </c>
      <c r="B466" s="1" t="str">
        <f>HYPERLINK("http://www.ncbi.nlm.nih.gov/pubmed/?term=Gba", "Gba")</f>
        <v>Gba</v>
      </c>
      <c r="C466" s="20">
        <v>4.0339999999999998</v>
      </c>
      <c r="D466" s="20">
        <v>4.4470000000000001</v>
      </c>
      <c r="E466" s="4">
        <v>5.4820000000000002</v>
      </c>
    </row>
    <row r="467" spans="1:5" x14ac:dyDescent="0.25">
      <c r="A467" t="s">
        <v>902</v>
      </c>
      <c r="B467" s="1" t="str">
        <f>HYPERLINK("http://www.ncbi.nlm.nih.gov/pubmed/?term=Cdh9", "Cdh9")</f>
        <v>Cdh9</v>
      </c>
      <c r="C467" s="12">
        <v>-1.488</v>
      </c>
      <c r="D467" s="12">
        <v>-1.032</v>
      </c>
      <c r="E467" s="20">
        <v>4.452</v>
      </c>
    </row>
    <row r="468" spans="1:5" x14ac:dyDescent="0.25">
      <c r="A468" t="s">
        <v>797</v>
      </c>
      <c r="B468" s="1" t="str">
        <f>HYPERLINK("http://www.ncbi.nlm.nih.gov/pubmed/?term=Fndc7", "Fndc7")</f>
        <v>Fndc7</v>
      </c>
      <c r="C468" s="12">
        <v>-2.2890000000000001</v>
      </c>
      <c r="D468" s="22">
        <v>3.657</v>
      </c>
      <c r="E468" s="4">
        <v>5.2919999999999998</v>
      </c>
    </row>
    <row r="469" spans="1:5" x14ac:dyDescent="0.25">
      <c r="A469" t="s">
        <v>248</v>
      </c>
      <c r="B469" s="1" t="str">
        <f>HYPERLINK("http://www.ncbi.nlm.nih.gov/pubmed/?term=Soat2", "Soat2")</f>
        <v>Soat2</v>
      </c>
      <c r="C469" s="12">
        <v>0.33989999999999998</v>
      </c>
      <c r="D469" s="12">
        <v>0.24640000000000001</v>
      </c>
      <c r="E469" s="20">
        <v>4.5129999999999999</v>
      </c>
    </row>
    <row r="470" spans="1:5" x14ac:dyDescent="0.25">
      <c r="A470" t="s">
        <v>1287</v>
      </c>
      <c r="B470" s="1" t="str">
        <f>HYPERLINK("http://www.ncbi.nlm.nih.gov/pubmed/?term=Llgl2", "Llgl2")</f>
        <v>Llgl2</v>
      </c>
      <c r="C470" s="20">
        <v>4.33</v>
      </c>
      <c r="D470" s="20">
        <v>4.45</v>
      </c>
      <c r="E470" s="4">
        <v>5.46</v>
      </c>
    </row>
    <row r="471" spans="1:5" x14ac:dyDescent="0.25">
      <c r="A471" t="s">
        <v>1468</v>
      </c>
      <c r="B471" s="1" t="str">
        <f>HYPERLINK("http://www.ncbi.nlm.nih.gov/pubmed/?term=Sik3", "Sik3")</f>
        <v>Sik3</v>
      </c>
      <c r="C471" s="22">
        <v>3.742</v>
      </c>
      <c r="D471" s="22">
        <v>3.9119999999999999</v>
      </c>
      <c r="E471" s="4">
        <v>5.335</v>
      </c>
    </row>
    <row r="472" spans="1:5" x14ac:dyDescent="0.25">
      <c r="A472" t="s">
        <v>1726</v>
      </c>
      <c r="B472" s="1" t="str">
        <f>HYPERLINK("http://www.ncbi.nlm.nih.gov/pubmed/?term=Cadm2", "Cadm2")</f>
        <v>Cadm2</v>
      </c>
      <c r="C472" s="12">
        <v>-4.6369999999999996</v>
      </c>
      <c r="D472" s="12">
        <v>0.64839999999999998</v>
      </c>
      <c r="E472" s="20">
        <v>4.5750000000000002</v>
      </c>
    </row>
    <row r="473" spans="1:5" x14ac:dyDescent="0.25">
      <c r="A473" t="s">
        <v>932</v>
      </c>
      <c r="B473" s="1" t="str">
        <f>HYPERLINK("http://www.ncbi.nlm.nih.gov/pubmed/?term=Il9r", "Il9r")</f>
        <v>Il9r</v>
      </c>
      <c r="C473" s="12">
        <v>-2.1800000000000002</v>
      </c>
      <c r="D473" s="12">
        <v>0.97130000000000005</v>
      </c>
      <c r="E473" s="20">
        <v>4.6479999999999997</v>
      </c>
    </row>
    <row r="474" spans="1:5" x14ac:dyDescent="0.25">
      <c r="A474" t="s">
        <v>782</v>
      </c>
      <c r="B474" s="1" t="str">
        <f>HYPERLINK("http://www.ncbi.nlm.nih.gov/pubmed/?term=Magi1", "Magi1")</f>
        <v>Magi1</v>
      </c>
      <c r="C474" s="3">
        <v>2.157</v>
      </c>
      <c r="D474" s="22">
        <v>3.266</v>
      </c>
      <c r="E474" s="4">
        <v>5.1760000000000002</v>
      </c>
    </row>
    <row r="475" spans="1:5" x14ac:dyDescent="0.25">
      <c r="A475" t="s">
        <v>948</v>
      </c>
      <c r="B475" s="1" t="str">
        <f>HYPERLINK("http://www.ncbi.nlm.nih.gov/pubmed/?term=Phc3", "Phc3")</f>
        <v>Phc3</v>
      </c>
      <c r="C475" s="22">
        <v>3.1150000000000002</v>
      </c>
      <c r="D475" s="22">
        <v>3.105</v>
      </c>
      <c r="E475" s="4">
        <v>5.1390000000000002</v>
      </c>
    </row>
    <row r="476" spans="1:5" x14ac:dyDescent="0.25">
      <c r="A476" t="s">
        <v>1465</v>
      </c>
      <c r="B476" s="1" t="str">
        <f>HYPERLINK("http://www.ncbi.nlm.nih.gov/pubmed/?term=Slc30a2", "Slc30a2")</f>
        <v>Slc30a2</v>
      </c>
      <c r="C476" s="12">
        <v>-2.46</v>
      </c>
      <c r="D476" s="22">
        <v>3.3769999999999998</v>
      </c>
      <c r="E476" s="4">
        <v>5.1980000000000004</v>
      </c>
    </row>
    <row r="477" spans="1:5" x14ac:dyDescent="0.25">
      <c r="A477" t="s">
        <v>1333</v>
      </c>
      <c r="B477" s="1" t="str">
        <f>HYPERLINK("http://www.ncbi.nlm.nih.gov/pubmed/?term=Il15", "Il15")</f>
        <v>Il15</v>
      </c>
      <c r="C477" s="3">
        <v>2.7850000000000001</v>
      </c>
      <c r="D477" s="3">
        <v>2.702</v>
      </c>
      <c r="E477" s="4">
        <v>5.0590000000000002</v>
      </c>
    </row>
    <row r="478" spans="1:5" x14ac:dyDescent="0.25">
      <c r="A478" t="s">
        <v>296</v>
      </c>
      <c r="B478" s="1" t="str">
        <f>HYPERLINK("http://www.ncbi.nlm.nih.gov/pubmed/?term=Dnajc6", "Dnajc6")</f>
        <v>Dnajc6</v>
      </c>
      <c r="C478" s="22">
        <v>3.1080000000000001</v>
      </c>
      <c r="D478" s="22">
        <v>3.6</v>
      </c>
      <c r="E478" s="4">
        <v>5.2469999999999999</v>
      </c>
    </row>
    <row r="479" spans="1:5" x14ac:dyDescent="0.25">
      <c r="A479" t="s">
        <v>1466</v>
      </c>
      <c r="B479" s="1" t="str">
        <f>HYPERLINK("http://www.ncbi.nlm.nih.gov/pubmed/?term=AU040320", "AU040320")</f>
        <v>AU040320</v>
      </c>
      <c r="C479" s="22">
        <v>3.0760000000000001</v>
      </c>
      <c r="D479" s="22">
        <v>3.927</v>
      </c>
      <c r="E479" s="4">
        <v>5.3209999999999997</v>
      </c>
    </row>
    <row r="480" spans="1:5" x14ac:dyDescent="0.25">
      <c r="A480" t="s">
        <v>1969</v>
      </c>
      <c r="B480" s="1" t="str">
        <f>HYPERLINK("http://www.ncbi.nlm.nih.gov/pubmed/?term=Tdh", "Tdh")</f>
        <v>Tdh</v>
      </c>
      <c r="C480" s="12">
        <v>-1.9259999999999999</v>
      </c>
      <c r="D480" s="22">
        <v>3.4990000000000001</v>
      </c>
      <c r="E480" s="4">
        <v>5.2210000000000001</v>
      </c>
    </row>
    <row r="481" spans="1:5" x14ac:dyDescent="0.25">
      <c r="A481" t="s">
        <v>1934</v>
      </c>
      <c r="B481" s="1" t="str">
        <f>HYPERLINK("http://www.ncbi.nlm.nih.gov/pubmed/?term=D16H22S680E", "D16H22S680E")</f>
        <v>D16H22S680E</v>
      </c>
      <c r="C481" s="22">
        <v>3.8959999999999999</v>
      </c>
      <c r="D481" s="22">
        <v>3.1749999999999998</v>
      </c>
      <c r="E481" s="4">
        <v>5.3129999999999997</v>
      </c>
    </row>
    <row r="482" spans="1:5" x14ac:dyDescent="0.25">
      <c r="A482" t="s">
        <v>380</v>
      </c>
      <c r="B482" s="1" t="str">
        <f>HYPERLINK("http://www.ncbi.nlm.nih.gov/pubmed/?term=Sel1l", "Sel1l")</f>
        <v>Sel1l</v>
      </c>
      <c r="C482" s="20">
        <v>4.2759999999999998</v>
      </c>
      <c r="D482" s="20">
        <v>4.3630000000000004</v>
      </c>
      <c r="E482" s="4">
        <v>5.4189999999999996</v>
      </c>
    </row>
    <row r="483" spans="1:5" x14ac:dyDescent="0.25">
      <c r="A483" t="s">
        <v>448</v>
      </c>
      <c r="B483" s="1" t="str">
        <f>HYPERLINK("http://www.ncbi.nlm.nih.gov/pubmed/?term=Tnfrsf17", "Tnfrsf17")</f>
        <v>Tnfrsf17</v>
      </c>
      <c r="C483" s="12">
        <v>-2.8849999999999998</v>
      </c>
      <c r="D483" s="12">
        <v>-1.643</v>
      </c>
      <c r="E483" s="20">
        <v>4.41</v>
      </c>
    </row>
    <row r="484" spans="1:5" x14ac:dyDescent="0.25">
      <c r="A484" t="s">
        <v>513</v>
      </c>
      <c r="B484" s="1" t="str">
        <f>HYPERLINK("http://www.ncbi.nlm.nih.gov/pubmed/?term=Cadps", "Cadps")</f>
        <v>Cadps</v>
      </c>
      <c r="C484" s="12">
        <v>-1.5409999999999999</v>
      </c>
      <c r="D484" s="3">
        <v>2.702</v>
      </c>
      <c r="E484" s="4">
        <v>5.0309999999999997</v>
      </c>
    </row>
    <row r="485" spans="1:5" x14ac:dyDescent="0.25">
      <c r="A485" t="s">
        <v>785</v>
      </c>
      <c r="B485" s="1" t="str">
        <f>HYPERLINK("http://www.ncbi.nlm.nih.gov/pubmed/?term=Sept6", "Sept6")</f>
        <v>Sept6</v>
      </c>
      <c r="C485" s="22">
        <v>3.9830000000000001</v>
      </c>
      <c r="D485" s="20">
        <v>4.2880000000000003</v>
      </c>
      <c r="E485" s="4">
        <v>5.3979999999999997</v>
      </c>
    </row>
    <row r="486" spans="1:5" x14ac:dyDescent="0.25">
      <c r="A486" t="s">
        <v>432</v>
      </c>
      <c r="B486" s="1" t="str">
        <f>HYPERLINK("http://www.ncbi.nlm.nih.gov/pubmed/?term=Slc31a2", "Slc31a2")</f>
        <v>Slc31a2</v>
      </c>
      <c r="C486" s="3">
        <v>2.976</v>
      </c>
      <c r="D486" s="22">
        <v>3.6709999999999998</v>
      </c>
      <c r="E486" s="4">
        <v>5.2539999999999996</v>
      </c>
    </row>
    <row r="487" spans="1:5" x14ac:dyDescent="0.25">
      <c r="A487" t="s">
        <v>1163</v>
      </c>
      <c r="B487" s="1" t="str">
        <f>HYPERLINK("http://www.ncbi.nlm.nih.gov/pubmed/?term=Tec", "Tec")</f>
        <v>Tec</v>
      </c>
      <c r="C487" s="11">
        <v>1.95</v>
      </c>
      <c r="D487" s="22">
        <v>3.3420000000000001</v>
      </c>
      <c r="E487" s="4">
        <v>5.1740000000000004</v>
      </c>
    </row>
    <row r="488" spans="1:5" x14ac:dyDescent="0.25">
      <c r="A488" t="s">
        <v>906</v>
      </c>
      <c r="B488" s="1" t="str">
        <f>HYPERLINK("http://www.ncbi.nlm.nih.gov/pubmed/?term=Muc1", "Muc1")</f>
        <v>Muc1</v>
      </c>
      <c r="C488" s="12">
        <v>-1.641</v>
      </c>
      <c r="D488" s="22">
        <v>3.218</v>
      </c>
      <c r="E488" s="4">
        <v>5.1440000000000001</v>
      </c>
    </row>
    <row r="489" spans="1:5" x14ac:dyDescent="0.25">
      <c r="A489" t="s">
        <v>1610</v>
      </c>
      <c r="B489" s="1" t="str">
        <f>HYPERLINK("http://www.ncbi.nlm.nih.gov/pubmed/?term=2210016L21Rik", "2210016L21Rik")</f>
        <v>2210016L21Rik</v>
      </c>
      <c r="C489" s="20">
        <v>4.41</v>
      </c>
      <c r="D489" s="20">
        <v>4.18</v>
      </c>
      <c r="E489" s="4">
        <v>5.4189999999999996</v>
      </c>
    </row>
    <row r="490" spans="1:5" x14ac:dyDescent="0.25">
      <c r="A490" t="s">
        <v>1284</v>
      </c>
      <c r="B490" s="1" t="str">
        <f>HYPERLINK("http://www.ncbi.nlm.nih.gov/pubmed/?term=Ube2e2", "Ube2e2")</f>
        <v>Ube2e2</v>
      </c>
      <c r="C490" s="22">
        <v>3.5640000000000001</v>
      </c>
      <c r="D490" s="22">
        <v>3.7749999999999999</v>
      </c>
      <c r="E490" s="4">
        <v>5.266</v>
      </c>
    </row>
    <row r="491" spans="1:5" x14ac:dyDescent="0.25">
      <c r="A491" t="s">
        <v>472</v>
      </c>
      <c r="B491" s="1" t="str">
        <f>HYPERLINK("http://www.ncbi.nlm.nih.gov/pubmed/?term=Sema4a", "Sema4a")</f>
        <v>Sema4a</v>
      </c>
      <c r="C491" s="12">
        <v>0.1988</v>
      </c>
      <c r="D491" s="22">
        <v>3.871</v>
      </c>
      <c r="E491" s="4">
        <v>5.2850000000000001</v>
      </c>
    </row>
    <row r="492" spans="1:5" x14ac:dyDescent="0.25">
      <c r="A492" t="s">
        <v>1584</v>
      </c>
      <c r="B492" s="1" t="str">
        <f>HYPERLINK("http://www.ncbi.nlm.nih.gov/pubmed/?term=Dexi", "Dexi")</f>
        <v>Dexi</v>
      </c>
      <c r="C492" s="20">
        <v>4.0529999999999999</v>
      </c>
      <c r="D492" s="22">
        <v>3.9790000000000001</v>
      </c>
      <c r="E492" s="4">
        <v>5.327</v>
      </c>
    </row>
    <row r="493" spans="1:5" x14ac:dyDescent="0.25">
      <c r="A493" t="s">
        <v>774</v>
      </c>
      <c r="B493" s="1" t="str">
        <f>HYPERLINK("http://www.ncbi.nlm.nih.gov/pubmed/?term=Cntnap1", "Cntnap1")</f>
        <v>Cntnap1</v>
      </c>
      <c r="C493" s="12">
        <v>0.4627</v>
      </c>
      <c r="D493" s="11">
        <v>1.5680000000000001</v>
      </c>
      <c r="E493" s="20">
        <v>4.7460000000000004</v>
      </c>
    </row>
    <row r="494" spans="1:5" x14ac:dyDescent="0.25">
      <c r="A494" t="s">
        <v>493</v>
      </c>
      <c r="B494" s="1" t="str">
        <f>HYPERLINK("http://www.ncbi.nlm.nih.gov/pubmed/?term=Med11", "Med11")</f>
        <v>Med11</v>
      </c>
      <c r="C494" s="20">
        <v>4.0519999999999996</v>
      </c>
      <c r="D494" s="20">
        <v>4.1769999999999996</v>
      </c>
      <c r="E494" s="4">
        <v>5.3490000000000002</v>
      </c>
    </row>
    <row r="495" spans="1:5" x14ac:dyDescent="0.25">
      <c r="A495" t="s">
        <v>1370</v>
      </c>
      <c r="B495" s="1" t="str">
        <f>HYPERLINK("http://www.ncbi.nlm.nih.gov/pubmed/?term=Zfp362", "Zfp362")</f>
        <v>Zfp362</v>
      </c>
      <c r="C495" s="22">
        <v>3.55</v>
      </c>
      <c r="D495" s="20">
        <v>4.2270000000000003</v>
      </c>
      <c r="E495" s="4">
        <v>5.36</v>
      </c>
    </row>
    <row r="496" spans="1:5" x14ac:dyDescent="0.25">
      <c r="A496" t="s">
        <v>1164</v>
      </c>
      <c r="B496" s="1" t="str">
        <f>HYPERLINK("http://www.ncbi.nlm.nih.gov/pubmed/?term=Cybb", "Cybb")</f>
        <v>Cybb</v>
      </c>
      <c r="C496" s="12">
        <v>-2.44</v>
      </c>
      <c r="D496" s="11">
        <v>1.6619999999999999</v>
      </c>
      <c r="E496" s="20">
        <v>4.766</v>
      </c>
    </row>
    <row r="497" spans="1:5" x14ac:dyDescent="0.25">
      <c r="A497" t="s">
        <v>626</v>
      </c>
      <c r="B497" s="1" t="str">
        <f>HYPERLINK("http://www.ncbi.nlm.nih.gov/pubmed/?term=Acacb", "Acacb")</f>
        <v>Acacb</v>
      </c>
      <c r="C497" s="12">
        <v>-2.0369999999999999</v>
      </c>
      <c r="D497" s="22">
        <v>3.0670000000000002</v>
      </c>
      <c r="E497" s="4">
        <v>5.0910000000000002</v>
      </c>
    </row>
    <row r="498" spans="1:5" x14ac:dyDescent="0.25">
      <c r="A498" t="s">
        <v>215</v>
      </c>
      <c r="B498" s="1" t="str">
        <f>HYPERLINK("http://www.ncbi.nlm.nih.gov/pubmed/?term=Pamr1", "Pamr1")</f>
        <v>Pamr1</v>
      </c>
      <c r="C498" s="12">
        <v>-2.3559999999999999</v>
      </c>
      <c r="D498" s="3">
        <v>2.9460000000000002</v>
      </c>
      <c r="E498" s="4">
        <v>5.0620000000000003</v>
      </c>
    </row>
    <row r="499" spans="1:5" x14ac:dyDescent="0.25">
      <c r="A499" t="s">
        <v>1481</v>
      </c>
      <c r="B499" s="1" t="str">
        <f>HYPERLINK("http://www.ncbi.nlm.nih.gov/pubmed/?term=Slit1", "Slit1")</f>
        <v>Slit1</v>
      </c>
      <c r="C499" s="12">
        <v>-4.0759999999999996</v>
      </c>
      <c r="D499" s="12">
        <v>-1.284</v>
      </c>
      <c r="E499" s="20">
        <v>4.3760000000000003</v>
      </c>
    </row>
    <row r="500" spans="1:5" x14ac:dyDescent="0.25">
      <c r="A500" t="s">
        <v>171</v>
      </c>
      <c r="B500" s="1" t="str">
        <f>HYPERLINK("http://www.ncbi.nlm.nih.gov/pubmed/?term=Adc", "Adc")</f>
        <v>Adc</v>
      </c>
      <c r="C500" s="11">
        <v>1.62</v>
      </c>
      <c r="D500" s="3">
        <v>2.2650000000000001</v>
      </c>
      <c r="E500" s="20">
        <v>4.8979999999999997</v>
      </c>
    </row>
    <row r="501" spans="1:5" x14ac:dyDescent="0.25">
      <c r="A501" t="s">
        <v>559</v>
      </c>
      <c r="B501" s="1" t="str">
        <f>HYPERLINK("http://www.ncbi.nlm.nih.gov/pubmed/?term=Trappc10", "Trappc10")</f>
        <v>Trappc10</v>
      </c>
      <c r="C501" s="20">
        <v>4.16</v>
      </c>
      <c r="D501" s="20">
        <v>4.3730000000000002</v>
      </c>
      <c r="E501" s="4">
        <v>5.375</v>
      </c>
    </row>
    <row r="502" spans="1:5" x14ac:dyDescent="0.25">
      <c r="A502" t="s">
        <v>1307</v>
      </c>
      <c r="B502" s="1" t="str">
        <f>HYPERLINK("http://www.ncbi.nlm.nih.gov/pubmed/?term=Has2", "Has2")</f>
        <v>Has2</v>
      </c>
      <c r="C502" s="12">
        <v>-1.998</v>
      </c>
      <c r="D502" s="3">
        <v>2.2400000000000002</v>
      </c>
      <c r="E502" s="20">
        <v>4.8810000000000002</v>
      </c>
    </row>
    <row r="503" spans="1:5" x14ac:dyDescent="0.25">
      <c r="A503" t="s">
        <v>1845</v>
      </c>
      <c r="B503" s="1" t="str">
        <f>HYPERLINK("http://www.ncbi.nlm.nih.gov/pubmed/?term=Tbx15", "Tbx15")</f>
        <v>Tbx15</v>
      </c>
      <c r="C503" s="12">
        <v>-3.1309999999999998</v>
      </c>
      <c r="D503" s="12">
        <v>6.5920000000000006E-2</v>
      </c>
      <c r="E503" s="20">
        <v>4.3760000000000003</v>
      </c>
    </row>
    <row r="504" spans="1:5" x14ac:dyDescent="0.25">
      <c r="A504" t="s">
        <v>560</v>
      </c>
      <c r="B504" s="1" t="str">
        <f>HYPERLINK("http://www.ncbi.nlm.nih.gov/pubmed/?term=Hdac9", "Hdac9")</f>
        <v>Hdac9</v>
      </c>
      <c r="C504" s="12">
        <v>-2.899</v>
      </c>
      <c r="D504" s="11">
        <v>1.635</v>
      </c>
      <c r="E504" s="20">
        <v>4.7380000000000004</v>
      </c>
    </row>
    <row r="505" spans="1:5" x14ac:dyDescent="0.25">
      <c r="A505" t="s">
        <v>1642</v>
      </c>
      <c r="B505" s="1" t="str">
        <f>HYPERLINK("http://www.ncbi.nlm.nih.gov/pubmed/?term=Gbp9", "Gbp9")</f>
        <v>Gbp9</v>
      </c>
      <c r="C505" s="22">
        <v>3.9359999999999999</v>
      </c>
      <c r="D505" s="20">
        <v>4.0529999999999999</v>
      </c>
      <c r="E505" s="4">
        <v>5.2960000000000003</v>
      </c>
    </row>
    <row r="506" spans="1:5" x14ac:dyDescent="0.25">
      <c r="A506" t="s">
        <v>1484</v>
      </c>
      <c r="B506" s="1" t="str">
        <f>HYPERLINK("http://www.ncbi.nlm.nih.gov/pubmed/?term=Mep1a", "Mep1a")</f>
        <v>Mep1a</v>
      </c>
      <c r="C506" s="12">
        <v>-3.2650000000000001</v>
      </c>
      <c r="D506" s="3">
        <v>2.65</v>
      </c>
      <c r="E506" s="20">
        <v>4.9710000000000001</v>
      </c>
    </row>
    <row r="507" spans="1:5" x14ac:dyDescent="0.25">
      <c r="A507" t="s">
        <v>1737</v>
      </c>
      <c r="B507" s="1" t="str">
        <f>HYPERLINK("http://www.ncbi.nlm.nih.gov/pubmed/?term=Stac", "Stac")</f>
        <v>Stac</v>
      </c>
      <c r="C507" s="12">
        <v>-0.77700000000000002</v>
      </c>
      <c r="D507" s="12">
        <v>-0.85</v>
      </c>
      <c r="E507" s="20">
        <v>4.3529999999999998</v>
      </c>
    </row>
    <row r="508" spans="1:5" x14ac:dyDescent="0.25">
      <c r="A508" t="s">
        <v>1207</v>
      </c>
      <c r="B508" s="1" t="str">
        <f>HYPERLINK("http://www.ncbi.nlm.nih.gov/pubmed/?term=Ptger3", "Ptger3")</f>
        <v>Ptger3</v>
      </c>
      <c r="C508" s="11">
        <v>1.744</v>
      </c>
      <c r="D508" s="3">
        <v>2.7490000000000001</v>
      </c>
      <c r="E508" s="20">
        <v>4.9859999999999998</v>
      </c>
    </row>
    <row r="509" spans="1:5" x14ac:dyDescent="0.25">
      <c r="A509" t="s">
        <v>750</v>
      </c>
      <c r="B509" s="1" t="str">
        <f>HYPERLINK("http://www.ncbi.nlm.nih.gov/pubmed/?term=Pgrmc2", "Pgrmc2")</f>
        <v>Pgrmc2</v>
      </c>
      <c r="C509" s="20">
        <v>4.1289999999999996</v>
      </c>
      <c r="D509" s="20">
        <v>4.2949999999999999</v>
      </c>
      <c r="E509" s="4">
        <v>5.3390000000000004</v>
      </c>
    </row>
    <row r="510" spans="1:5" x14ac:dyDescent="0.25">
      <c r="A510" t="s">
        <v>502</v>
      </c>
      <c r="B510" s="1" t="str">
        <f>HYPERLINK("http://www.ncbi.nlm.nih.gov/pubmed/?term=Slc41a1", "Slc41a1")</f>
        <v>Slc41a1</v>
      </c>
      <c r="C510" s="3">
        <v>2.9710000000000001</v>
      </c>
      <c r="D510" s="22">
        <v>3.5289999999999999</v>
      </c>
      <c r="E510" s="4">
        <v>5.16</v>
      </c>
    </row>
    <row r="511" spans="1:5" x14ac:dyDescent="0.25">
      <c r="A511" t="s">
        <v>1659</v>
      </c>
      <c r="B511" s="1" t="str">
        <f>HYPERLINK("http://www.ncbi.nlm.nih.gov/pubmed/?term=4632411B12Rik", "4632411B12Rik")</f>
        <v>4632411B12Rik</v>
      </c>
      <c r="C511" s="22">
        <v>3.7719999999999998</v>
      </c>
      <c r="D511" s="22">
        <v>3.9329999999999998</v>
      </c>
      <c r="E511" s="4">
        <v>5.2510000000000003</v>
      </c>
    </row>
    <row r="512" spans="1:5" x14ac:dyDescent="0.25">
      <c r="A512" t="s">
        <v>126</v>
      </c>
      <c r="B512" s="1" t="str">
        <f>HYPERLINK("http://www.ncbi.nlm.nih.gov/pubmed/?term=Plbd2", "Plbd2")</f>
        <v>Plbd2</v>
      </c>
      <c r="C512" s="3">
        <v>2.988</v>
      </c>
      <c r="D512" s="22">
        <v>3.0910000000000002</v>
      </c>
      <c r="E512" s="4">
        <v>5.0549999999999997</v>
      </c>
    </row>
    <row r="513" spans="1:5" x14ac:dyDescent="0.25">
      <c r="A513" t="s">
        <v>1250</v>
      </c>
      <c r="B513" s="1" t="str">
        <f>HYPERLINK("http://www.ncbi.nlm.nih.gov/pubmed/?term=Calcrl", "Calcrl")</f>
        <v>Calcrl</v>
      </c>
      <c r="C513" s="3">
        <v>2.0779999999999998</v>
      </c>
      <c r="D513" s="22">
        <v>3.3519999999999999</v>
      </c>
      <c r="E513" s="4">
        <v>5.1150000000000002</v>
      </c>
    </row>
    <row r="514" spans="1:5" x14ac:dyDescent="0.25">
      <c r="A514" t="s">
        <v>39</v>
      </c>
      <c r="B514" s="1" t="str">
        <f>HYPERLINK("http://www.ncbi.nlm.nih.gov/pubmed/?term=Gpr162", "Gpr162")</f>
        <v>Gpr162</v>
      </c>
      <c r="C514" s="11">
        <v>1.3169999999999999</v>
      </c>
      <c r="D514" s="11">
        <v>1.8740000000000001</v>
      </c>
      <c r="E514" s="20">
        <v>4.7640000000000002</v>
      </c>
    </row>
    <row r="515" spans="1:5" x14ac:dyDescent="0.25">
      <c r="A515" t="s">
        <v>959</v>
      </c>
      <c r="B515" s="1" t="str">
        <f>HYPERLINK("http://www.ncbi.nlm.nih.gov/pubmed/?term=Nsg2", "Nsg2")</f>
        <v>Nsg2</v>
      </c>
      <c r="C515" s="22">
        <v>3.0430000000000001</v>
      </c>
      <c r="D515" s="12">
        <v>0.62719999999999998</v>
      </c>
      <c r="E515" s="4">
        <v>5.0339999999999998</v>
      </c>
    </row>
    <row r="516" spans="1:5" x14ac:dyDescent="0.25">
      <c r="A516" t="s">
        <v>1824</v>
      </c>
      <c r="B516" s="1" t="str">
        <f>HYPERLINK("http://www.ncbi.nlm.nih.gov/pubmed/?term=Sez6l2", "Sez6l2")</f>
        <v>Sez6l2</v>
      </c>
      <c r="C516" s="12">
        <v>-1.4490000000000001</v>
      </c>
      <c r="D516" s="3">
        <v>2.871</v>
      </c>
      <c r="E516" s="20">
        <v>4.99</v>
      </c>
    </row>
    <row r="517" spans="1:5" x14ac:dyDescent="0.25">
      <c r="A517" t="s">
        <v>1432</v>
      </c>
      <c r="B517" s="1" t="str">
        <f>HYPERLINK("http://www.ncbi.nlm.nih.gov/pubmed/?term=Npas2", "Npas2")</f>
        <v>Npas2</v>
      </c>
      <c r="C517" s="11">
        <v>1.115</v>
      </c>
      <c r="D517" s="22">
        <v>3.3159999999999998</v>
      </c>
      <c r="E517" s="4">
        <v>5.0880000000000001</v>
      </c>
    </row>
    <row r="518" spans="1:5" x14ac:dyDescent="0.25">
      <c r="A518" t="s">
        <v>1203</v>
      </c>
      <c r="B518" s="1" t="str">
        <f>HYPERLINK("http://www.ncbi.nlm.nih.gov/pubmed/?term=Sh3pxd2a", "Sh3pxd2a")</f>
        <v>Sh3pxd2a</v>
      </c>
      <c r="C518" s="22">
        <v>3.78</v>
      </c>
      <c r="D518" s="22">
        <v>3.8410000000000002</v>
      </c>
      <c r="E518" s="4">
        <v>5.2080000000000002</v>
      </c>
    </row>
    <row r="519" spans="1:5" x14ac:dyDescent="0.25">
      <c r="A519" t="s">
        <v>1889</v>
      </c>
      <c r="B519" s="1" t="str">
        <f>HYPERLINK("http://www.ncbi.nlm.nih.gov/pubmed/?term=Ripply2", "Ripply2")</f>
        <v>Ripply2</v>
      </c>
      <c r="C519" s="12">
        <v>-3.117</v>
      </c>
      <c r="D519" s="12">
        <v>-1.4930000000000001</v>
      </c>
      <c r="E519" s="20">
        <v>4.3159999999999998</v>
      </c>
    </row>
    <row r="520" spans="1:5" x14ac:dyDescent="0.25">
      <c r="A520" t="s">
        <v>1364</v>
      </c>
      <c r="B520" s="1" t="str">
        <f>HYPERLINK("http://www.ncbi.nlm.nih.gov/pubmed/?term=Dnmt3l", "Dnmt3l")</f>
        <v>Dnmt3l</v>
      </c>
      <c r="C520" s="12">
        <v>-3.1349999999999998</v>
      </c>
      <c r="D520" s="12">
        <v>-0.68149999999999999</v>
      </c>
      <c r="E520" s="20">
        <v>4.3150000000000004</v>
      </c>
    </row>
    <row r="521" spans="1:5" x14ac:dyDescent="0.25">
      <c r="A521" t="s">
        <v>69</v>
      </c>
      <c r="B521" s="1" t="str">
        <f>HYPERLINK("http://www.ncbi.nlm.nih.gov/pubmed/?term=Prnd", "Prnd")</f>
        <v>Prnd</v>
      </c>
      <c r="C521" s="12">
        <v>0.86939999999999995</v>
      </c>
      <c r="D521" s="12">
        <v>0.59460000000000002</v>
      </c>
      <c r="E521" s="20">
        <v>4.5149999999999997</v>
      </c>
    </row>
    <row r="522" spans="1:5" x14ac:dyDescent="0.25">
      <c r="A522" t="s">
        <v>1050</v>
      </c>
      <c r="B522" s="1" t="str">
        <f>HYPERLINK("http://www.ncbi.nlm.nih.gov/pubmed/?term=Gbp4", "Gbp4")</f>
        <v>Gbp4</v>
      </c>
      <c r="C522" s="3">
        <v>2.778</v>
      </c>
      <c r="D522" s="11">
        <v>1.78</v>
      </c>
      <c r="E522" s="20">
        <v>4.95</v>
      </c>
    </row>
    <row r="523" spans="1:5" x14ac:dyDescent="0.25">
      <c r="A523" t="s">
        <v>1556</v>
      </c>
      <c r="B523" s="1" t="str">
        <f>HYPERLINK("http://www.ncbi.nlm.nih.gov/pubmed/?term=Sct", "Sct")</f>
        <v>Sct</v>
      </c>
      <c r="C523" s="12">
        <v>-3.4129999999999998</v>
      </c>
      <c r="D523" s="3">
        <v>2.3439999999999999</v>
      </c>
      <c r="E523" s="20">
        <v>4.8490000000000002</v>
      </c>
    </row>
    <row r="524" spans="1:5" x14ac:dyDescent="0.25">
      <c r="A524" t="s">
        <v>1492</v>
      </c>
      <c r="B524" s="1" t="str">
        <f>HYPERLINK("http://www.ncbi.nlm.nih.gov/pubmed/?term=Ntng2", "Ntng2")</f>
        <v>Ntng2</v>
      </c>
      <c r="C524" s="12">
        <v>-3.9449999999999998</v>
      </c>
      <c r="D524" s="3">
        <v>2.8140000000000001</v>
      </c>
      <c r="E524" s="20">
        <v>4.9539999999999997</v>
      </c>
    </row>
    <row r="525" spans="1:5" x14ac:dyDescent="0.25">
      <c r="A525" t="s">
        <v>1461</v>
      </c>
      <c r="B525" s="1" t="str">
        <f>HYPERLINK("http://www.ncbi.nlm.nih.gov/pubmed/?term=Arhgef3", "Arhgef3")</f>
        <v>Arhgef3</v>
      </c>
      <c r="C525" s="11">
        <v>1.3460000000000001</v>
      </c>
      <c r="D525" s="22">
        <v>3.3159999999999998</v>
      </c>
      <c r="E525" s="4">
        <v>5.07</v>
      </c>
    </row>
    <row r="526" spans="1:5" x14ac:dyDescent="0.25">
      <c r="A526" t="s">
        <v>95</v>
      </c>
      <c r="B526" s="1" t="str">
        <f>HYPERLINK("http://www.ncbi.nlm.nih.gov/pubmed/?term=Nfasc", "Nfasc")</f>
        <v>Nfasc</v>
      </c>
      <c r="C526" s="12">
        <v>-1.79</v>
      </c>
      <c r="D526" s="3">
        <v>2.589</v>
      </c>
      <c r="E526" s="20">
        <v>4.9009999999999998</v>
      </c>
    </row>
    <row r="527" spans="1:5" x14ac:dyDescent="0.25">
      <c r="A527" t="s">
        <v>700</v>
      </c>
      <c r="B527" s="1" t="str">
        <f>HYPERLINK("http://www.ncbi.nlm.nih.gov/pubmed/?term=Ccr6", "Ccr6")</f>
        <v>Ccr6</v>
      </c>
      <c r="C527" s="12">
        <v>-2.8730000000000002</v>
      </c>
      <c r="D527" s="12">
        <v>-1.768</v>
      </c>
      <c r="E527" s="20">
        <v>4.3019999999999996</v>
      </c>
    </row>
    <row r="528" spans="1:5" x14ac:dyDescent="0.25">
      <c r="A528" t="s">
        <v>1423</v>
      </c>
      <c r="B528" s="1" t="str">
        <f>HYPERLINK("http://www.ncbi.nlm.nih.gov/pubmed/?term=Yif1b", "Yif1b")</f>
        <v>Yif1b</v>
      </c>
      <c r="C528" s="22">
        <v>3.9460000000000002</v>
      </c>
      <c r="D528" s="20">
        <v>4.2039999999999997</v>
      </c>
      <c r="E528" s="4">
        <v>5.2690000000000001</v>
      </c>
    </row>
    <row r="529" spans="1:5" x14ac:dyDescent="0.25">
      <c r="A529" t="s">
        <v>2034</v>
      </c>
      <c r="B529" s="1" t="str">
        <f>HYPERLINK("http://www.ncbi.nlm.nih.gov/pubmed/?term=Mamstr", "Mamstr")</f>
        <v>Mamstr</v>
      </c>
      <c r="C529" s="12">
        <v>-0.1018</v>
      </c>
      <c r="D529" s="3">
        <v>2.5430000000000001</v>
      </c>
      <c r="E529" s="20">
        <v>4.883</v>
      </c>
    </row>
    <row r="530" spans="1:5" x14ac:dyDescent="0.25">
      <c r="A530" t="s">
        <v>586</v>
      </c>
      <c r="B530" s="1" t="str">
        <f>HYPERLINK("http://www.ncbi.nlm.nih.gov/pubmed/?term=Kif21a", "Kif21a")</f>
        <v>Kif21a</v>
      </c>
      <c r="C530" s="22">
        <v>3.86</v>
      </c>
      <c r="D530" s="22">
        <v>3.117</v>
      </c>
      <c r="E530" s="4">
        <v>5.1840000000000002</v>
      </c>
    </row>
    <row r="531" spans="1:5" x14ac:dyDescent="0.25">
      <c r="A531" t="s">
        <v>150</v>
      </c>
      <c r="B531" s="1" t="str">
        <f>HYPERLINK("http://www.ncbi.nlm.nih.gov/pubmed/?term=Dok1", "Dok1")</f>
        <v>Dok1</v>
      </c>
      <c r="C531" s="22">
        <v>3.6160000000000001</v>
      </c>
      <c r="D531" s="22">
        <v>3.0579999999999998</v>
      </c>
      <c r="E531" s="4">
        <v>5.1269999999999998</v>
      </c>
    </row>
    <row r="532" spans="1:5" x14ac:dyDescent="0.25">
      <c r="A532" t="s">
        <v>1443</v>
      </c>
      <c r="B532" s="1" t="str">
        <f>HYPERLINK("http://www.ncbi.nlm.nih.gov/pubmed/?term=Pde1c", "Pde1c")</f>
        <v>Pde1c</v>
      </c>
      <c r="C532" s="12">
        <v>0.5161</v>
      </c>
      <c r="D532" s="22">
        <v>3.52</v>
      </c>
      <c r="E532" s="4">
        <v>5.1020000000000003</v>
      </c>
    </row>
    <row r="533" spans="1:5" x14ac:dyDescent="0.25">
      <c r="A533" t="s">
        <v>186</v>
      </c>
      <c r="B533" s="1" t="str">
        <f>HYPERLINK("http://www.ncbi.nlm.nih.gov/pubmed/?term=Rab32", "Rab32")</f>
        <v>Rab32</v>
      </c>
      <c r="C533" s="11">
        <v>1.1279999999999999</v>
      </c>
      <c r="D533" s="20">
        <v>4.1120000000000001</v>
      </c>
      <c r="E533" s="4">
        <v>5.2389999999999999</v>
      </c>
    </row>
    <row r="534" spans="1:5" x14ac:dyDescent="0.25">
      <c r="A534" t="s">
        <v>903</v>
      </c>
      <c r="B534" s="1" t="str">
        <f>HYPERLINK("http://www.ncbi.nlm.nih.gov/pubmed/?term=Pfkm", "Pfkm")</f>
        <v>Pfkm</v>
      </c>
      <c r="C534" s="22">
        <v>3.3809999999999998</v>
      </c>
      <c r="D534" s="3">
        <v>2.7610000000000001</v>
      </c>
      <c r="E534" s="4">
        <v>5.069</v>
      </c>
    </row>
    <row r="535" spans="1:5" x14ac:dyDescent="0.25">
      <c r="A535" t="s">
        <v>966</v>
      </c>
      <c r="B535" s="1" t="str">
        <f>HYPERLINK("http://www.ncbi.nlm.nih.gov/pubmed/?term=Tmprss2", "Tmprss2")</f>
        <v>Tmprss2</v>
      </c>
      <c r="C535" s="3">
        <v>2.2890000000000001</v>
      </c>
      <c r="D535" s="3">
        <v>2.544</v>
      </c>
      <c r="E535" s="20">
        <v>4.875</v>
      </c>
    </row>
    <row r="536" spans="1:5" x14ac:dyDescent="0.25">
      <c r="A536" t="s">
        <v>718</v>
      </c>
      <c r="B536" s="1" t="str">
        <f>HYPERLINK("http://www.ncbi.nlm.nih.gov/pubmed/?term=Sh3bp1", "Sh3bp1")</f>
        <v>Sh3bp1</v>
      </c>
      <c r="C536" s="22">
        <v>3.82</v>
      </c>
      <c r="D536" s="20">
        <v>4.0860000000000003</v>
      </c>
      <c r="E536" s="4">
        <v>5.2169999999999996</v>
      </c>
    </row>
    <row r="537" spans="1:5" x14ac:dyDescent="0.25">
      <c r="A537" t="s">
        <v>567</v>
      </c>
      <c r="B537" s="1" t="str">
        <f>HYPERLINK("http://www.ncbi.nlm.nih.gov/pubmed/?term=Clec2i", "Clec2i")</f>
        <v>Clec2i</v>
      </c>
      <c r="C537" s="12">
        <v>-0.41370000000000001</v>
      </c>
      <c r="D537" s="12">
        <v>0.1416</v>
      </c>
      <c r="E537" s="20">
        <v>4.298</v>
      </c>
    </row>
    <row r="538" spans="1:5" x14ac:dyDescent="0.25">
      <c r="A538" t="s">
        <v>375</v>
      </c>
      <c r="B538" s="1" t="str">
        <f>HYPERLINK("http://www.ncbi.nlm.nih.gov/pubmed/?term=Fabp12", "Fabp12")</f>
        <v>Fabp12</v>
      </c>
      <c r="C538" s="12">
        <v>-2.8690000000000002</v>
      </c>
      <c r="D538" s="12">
        <v>-0.68300000000000005</v>
      </c>
      <c r="E538" s="20">
        <v>4.2649999999999997</v>
      </c>
    </row>
    <row r="539" spans="1:5" x14ac:dyDescent="0.25">
      <c r="A539" t="s">
        <v>1715</v>
      </c>
      <c r="B539" s="1" t="str">
        <f>HYPERLINK("http://www.ncbi.nlm.nih.gov/pubmed/?term=Ces2g", "Ces2g")</f>
        <v>Ces2g</v>
      </c>
      <c r="C539" s="12">
        <v>3.0980000000000001E-3</v>
      </c>
      <c r="D539" s="22">
        <v>3.4180000000000001</v>
      </c>
      <c r="E539" s="4">
        <v>5.0549999999999997</v>
      </c>
    </row>
    <row r="540" spans="1:5" x14ac:dyDescent="0.25">
      <c r="A540" t="s">
        <v>406</v>
      </c>
      <c r="B540" s="1" t="str">
        <f>HYPERLINK("http://www.ncbi.nlm.nih.gov/pubmed/?term=Tnfrsf10b", "Tnfrsf10b")</f>
        <v>Tnfrsf10b</v>
      </c>
      <c r="C540" s="22">
        <v>3.67</v>
      </c>
      <c r="D540" s="22">
        <v>3.2509999999999999</v>
      </c>
      <c r="E540" s="4">
        <v>5.1109999999999998</v>
      </c>
    </row>
    <row r="541" spans="1:5" x14ac:dyDescent="0.25">
      <c r="A541" t="s">
        <v>263</v>
      </c>
      <c r="B541" s="1" t="str">
        <f>HYPERLINK("http://www.ncbi.nlm.nih.gov/pubmed/?term=Sgk3", "Sgk3")</f>
        <v>Sgk3</v>
      </c>
      <c r="C541" s="22">
        <v>3.5990000000000002</v>
      </c>
      <c r="D541" s="22">
        <v>3.2629999999999999</v>
      </c>
      <c r="E541" s="4">
        <v>5.0910000000000002</v>
      </c>
    </row>
    <row r="542" spans="1:5" x14ac:dyDescent="0.25">
      <c r="A542" t="s">
        <v>533</v>
      </c>
      <c r="B542" s="1" t="str">
        <f>HYPERLINK("http://www.ncbi.nlm.nih.gov/pubmed/?term=Traf6", "Traf6")</f>
        <v>Traf6</v>
      </c>
      <c r="C542" s="22">
        <v>3.3559999999999999</v>
      </c>
      <c r="D542" s="22">
        <v>3.198</v>
      </c>
      <c r="E542" s="4">
        <v>5.0339999999999998</v>
      </c>
    </row>
    <row r="543" spans="1:5" x14ac:dyDescent="0.25">
      <c r="A543" t="s">
        <v>1292</v>
      </c>
      <c r="B543" s="1" t="str">
        <f>HYPERLINK("http://www.ncbi.nlm.nih.gov/pubmed/?term=Pcgf5", "Pcgf5")</f>
        <v>Pcgf5</v>
      </c>
      <c r="C543" s="3">
        <v>2.1070000000000002</v>
      </c>
      <c r="D543" s="22">
        <v>3.6709999999999998</v>
      </c>
      <c r="E543" s="4">
        <v>5.1070000000000002</v>
      </c>
    </row>
    <row r="544" spans="1:5" x14ac:dyDescent="0.25">
      <c r="A544" t="s">
        <v>511</v>
      </c>
      <c r="B544" s="1" t="str">
        <f>HYPERLINK("http://www.ncbi.nlm.nih.gov/pubmed/?term=Itpripl2", "Itpripl2")</f>
        <v>Itpripl2</v>
      </c>
      <c r="C544" s="11">
        <v>1.6080000000000001</v>
      </c>
      <c r="D544" s="3">
        <v>2.7</v>
      </c>
      <c r="E544" s="20">
        <v>4.8810000000000002</v>
      </c>
    </row>
    <row r="545" spans="1:5" x14ac:dyDescent="0.25">
      <c r="A545" t="s">
        <v>1813</v>
      </c>
      <c r="B545" s="1" t="str">
        <f>HYPERLINK("http://www.ncbi.nlm.nih.gov/pubmed/?term=Htra2", "Htra2")</f>
        <v>Htra2</v>
      </c>
      <c r="C545" s="20">
        <v>4.08</v>
      </c>
      <c r="D545" s="20">
        <v>4.0270000000000001</v>
      </c>
      <c r="E545" s="4">
        <v>5.1950000000000003</v>
      </c>
    </row>
    <row r="546" spans="1:5" x14ac:dyDescent="0.25">
      <c r="A546" t="s">
        <v>373</v>
      </c>
      <c r="B546" s="1" t="str">
        <f>HYPERLINK("http://www.ncbi.nlm.nih.gov/pubmed/?term=Apba2", "Apba2")</f>
        <v>Apba2</v>
      </c>
      <c r="C546" s="20">
        <v>4.2119999999999997</v>
      </c>
      <c r="D546" s="11">
        <v>1.125</v>
      </c>
      <c r="E546" s="4">
        <v>5.2210000000000001</v>
      </c>
    </row>
    <row r="547" spans="1:5" x14ac:dyDescent="0.25">
      <c r="A547" t="s">
        <v>294</v>
      </c>
      <c r="B547" s="1" t="str">
        <f>HYPERLINK("http://www.ncbi.nlm.nih.gov/pubmed/?term=Thrsp", "Thrsp")</f>
        <v>Thrsp</v>
      </c>
      <c r="C547" s="11">
        <v>1.512</v>
      </c>
      <c r="D547" s="3">
        <v>2.0129999999999999</v>
      </c>
      <c r="E547" s="20">
        <v>4.7080000000000002</v>
      </c>
    </row>
    <row r="548" spans="1:5" x14ac:dyDescent="0.25">
      <c r="A548" t="s">
        <v>1716</v>
      </c>
      <c r="B548" s="1" t="str">
        <f>HYPERLINK("http://www.ncbi.nlm.nih.gov/pubmed/?term=Eno3", "Eno3")</f>
        <v>Eno3</v>
      </c>
      <c r="C548" s="3">
        <v>2.9670000000000001</v>
      </c>
      <c r="D548" s="22">
        <v>3.0139999999999998</v>
      </c>
      <c r="E548" s="20">
        <v>4.9400000000000004</v>
      </c>
    </row>
    <row r="549" spans="1:5" x14ac:dyDescent="0.25">
      <c r="A549" t="s">
        <v>871</v>
      </c>
      <c r="B549" s="1" t="str">
        <f>HYPERLINK("http://www.ncbi.nlm.nih.gov/pubmed/?term=Wbscr17", "Wbscr17")</f>
        <v>Wbscr17</v>
      </c>
      <c r="C549" s="12">
        <v>-0.2984</v>
      </c>
      <c r="D549" s="20">
        <v>4.03</v>
      </c>
      <c r="E549" s="4">
        <v>5.173</v>
      </c>
    </row>
    <row r="550" spans="1:5" x14ac:dyDescent="0.25">
      <c r="A550" t="s">
        <v>1695</v>
      </c>
      <c r="B550" s="1" t="str">
        <f>HYPERLINK("http://www.ncbi.nlm.nih.gov/pubmed/?term=Mbp", "Mbp")</f>
        <v>Mbp</v>
      </c>
      <c r="C550" s="11">
        <v>1.5429999999999999</v>
      </c>
      <c r="D550" s="22">
        <v>3.359</v>
      </c>
      <c r="E550" s="4">
        <v>5.0170000000000003</v>
      </c>
    </row>
    <row r="551" spans="1:5" x14ac:dyDescent="0.25">
      <c r="A551" t="s">
        <v>1458</v>
      </c>
      <c r="B551" s="1" t="str">
        <f>HYPERLINK("http://www.ncbi.nlm.nih.gov/pubmed/?term=Gca", "Gca")</f>
        <v>Gca</v>
      </c>
      <c r="C551" s="12">
        <v>0.78410000000000002</v>
      </c>
      <c r="D551" s="3">
        <v>2.8260000000000001</v>
      </c>
      <c r="E551" s="20">
        <v>4.8929999999999998</v>
      </c>
    </row>
    <row r="552" spans="1:5" x14ac:dyDescent="0.25">
      <c r="A552" t="s">
        <v>1335</v>
      </c>
      <c r="B552" s="1" t="str">
        <f>HYPERLINK("http://www.ncbi.nlm.nih.gov/pubmed/?term=Adam17", "Adam17")</f>
        <v>Adam17</v>
      </c>
      <c r="C552" s="22">
        <v>3.9420000000000002</v>
      </c>
      <c r="D552" s="22">
        <v>3.9550000000000001</v>
      </c>
      <c r="E552" s="4">
        <v>5.1520000000000001</v>
      </c>
    </row>
    <row r="553" spans="1:5" x14ac:dyDescent="0.25">
      <c r="A553" t="s">
        <v>1293</v>
      </c>
      <c r="B553" s="1" t="str">
        <f>HYPERLINK("http://www.ncbi.nlm.nih.gov/pubmed/?term=Alg6", "Alg6")</f>
        <v>Alg6</v>
      </c>
      <c r="C553" s="20">
        <v>4.1719999999999997</v>
      </c>
      <c r="D553" s="22">
        <v>3.508</v>
      </c>
      <c r="E553" s="4">
        <v>5.2009999999999996</v>
      </c>
    </row>
    <row r="554" spans="1:5" x14ac:dyDescent="0.25">
      <c r="A554" t="s">
        <v>739</v>
      </c>
      <c r="B554" s="1" t="str">
        <f>HYPERLINK("http://www.ncbi.nlm.nih.gov/pubmed/?term=Ankrd35", "Ankrd35")</f>
        <v>Ankrd35</v>
      </c>
      <c r="C554" s="11">
        <v>1.633</v>
      </c>
      <c r="D554" s="22">
        <v>3.47</v>
      </c>
      <c r="E554" s="4">
        <v>5.032</v>
      </c>
    </row>
    <row r="555" spans="1:5" x14ac:dyDescent="0.25">
      <c r="A555" t="s">
        <v>738</v>
      </c>
      <c r="B555" s="1" t="str">
        <f>HYPERLINK("http://www.ncbi.nlm.nih.gov/pubmed/?term=Cttnbp2nl", "Cttnbp2nl")</f>
        <v>Cttnbp2nl</v>
      </c>
      <c r="C555" s="22">
        <v>3.9590000000000001</v>
      </c>
      <c r="D555" s="20">
        <v>4.0049999999999999</v>
      </c>
      <c r="E555" s="4">
        <v>5.1539999999999999</v>
      </c>
    </row>
    <row r="556" spans="1:5" x14ac:dyDescent="0.25">
      <c r="A556" t="s">
        <v>407</v>
      </c>
      <c r="B556" s="1" t="str">
        <f>HYPERLINK("http://www.ncbi.nlm.nih.gov/pubmed/?term=Sema3b", "Sema3b")</f>
        <v>Sema3b</v>
      </c>
      <c r="C556" s="12">
        <v>-2.16</v>
      </c>
      <c r="D556" s="3">
        <v>2.4990000000000001</v>
      </c>
      <c r="E556" s="20">
        <v>4.8040000000000003</v>
      </c>
    </row>
    <row r="557" spans="1:5" x14ac:dyDescent="0.25">
      <c r="A557" t="s">
        <v>487</v>
      </c>
      <c r="B557" s="1" t="str">
        <f>HYPERLINK("http://www.ncbi.nlm.nih.gov/pubmed/?term=Ccdc21", "Ccdc21")</f>
        <v>Ccdc21</v>
      </c>
      <c r="C557" s="3">
        <v>2.004</v>
      </c>
      <c r="D557" s="3">
        <v>2.4260000000000002</v>
      </c>
      <c r="E557" s="20">
        <v>4.7880000000000003</v>
      </c>
    </row>
    <row r="558" spans="1:5" x14ac:dyDescent="0.25">
      <c r="A558" t="s">
        <v>929</v>
      </c>
      <c r="B558" s="1" t="str">
        <f>HYPERLINK("http://www.ncbi.nlm.nih.gov/pubmed/?term=Adm2", "Adm2")</f>
        <v>Adm2</v>
      </c>
      <c r="C558" s="12">
        <v>-3.2130000000000001</v>
      </c>
      <c r="D558" s="3">
        <v>2.8460000000000001</v>
      </c>
      <c r="E558" s="20">
        <v>4.88</v>
      </c>
    </row>
    <row r="559" spans="1:5" x14ac:dyDescent="0.25">
      <c r="A559" t="s">
        <v>869</v>
      </c>
      <c r="B559" s="1" t="str">
        <f>HYPERLINK("http://www.ncbi.nlm.nih.gov/pubmed/?term=Lingo1", "Lingo1")</f>
        <v>Lingo1</v>
      </c>
      <c r="C559" s="12">
        <v>0.76780000000000004</v>
      </c>
      <c r="D559" s="3">
        <v>2.6070000000000002</v>
      </c>
      <c r="E559" s="20">
        <v>4.8239999999999998</v>
      </c>
    </row>
    <row r="560" spans="1:5" x14ac:dyDescent="0.25">
      <c r="A560" t="s">
        <v>355</v>
      </c>
      <c r="B560" s="1" t="str">
        <f>HYPERLINK("http://www.ncbi.nlm.nih.gov/pubmed/?term=Insr", "Insr")</f>
        <v>Insr</v>
      </c>
      <c r="C560" s="22">
        <v>3.0409999999999999</v>
      </c>
      <c r="D560" s="22">
        <v>3.34</v>
      </c>
      <c r="E560" s="20">
        <v>4.9909999999999997</v>
      </c>
    </row>
    <row r="561" spans="1:5" x14ac:dyDescent="0.25">
      <c r="A561" t="s">
        <v>333</v>
      </c>
      <c r="B561" s="1" t="str">
        <f>HYPERLINK("http://www.ncbi.nlm.nih.gov/pubmed/?term=Lrrc8c", "Lrrc8c")</f>
        <v>Lrrc8c</v>
      </c>
      <c r="C561" s="22">
        <v>3.726</v>
      </c>
      <c r="D561" s="22">
        <v>3.153</v>
      </c>
      <c r="E561" s="4">
        <v>5.08</v>
      </c>
    </row>
    <row r="562" spans="1:5" x14ac:dyDescent="0.25">
      <c r="A562" t="s">
        <v>993</v>
      </c>
      <c r="B562" s="1" t="str">
        <f>HYPERLINK("http://www.ncbi.nlm.nih.gov/pubmed/?term=Klhl2", "Klhl2")</f>
        <v>Klhl2</v>
      </c>
      <c r="C562" s="3">
        <v>2.6539999999999999</v>
      </c>
      <c r="D562" s="3">
        <v>2.7120000000000002</v>
      </c>
      <c r="E562" s="20">
        <v>4.84</v>
      </c>
    </row>
    <row r="563" spans="1:5" x14ac:dyDescent="0.25">
      <c r="A563" t="s">
        <v>1699</v>
      </c>
      <c r="B563" s="1" t="str">
        <f>HYPERLINK("http://www.ncbi.nlm.nih.gov/pubmed/?term=Erv3", "Erv3")</f>
        <v>Erv3</v>
      </c>
      <c r="C563" s="12">
        <v>-3.7639999999999998</v>
      </c>
      <c r="D563" s="12">
        <v>-0.17730000000000001</v>
      </c>
      <c r="E563" s="20">
        <v>4.2119999999999997</v>
      </c>
    </row>
    <row r="564" spans="1:5" x14ac:dyDescent="0.25">
      <c r="A564" t="s">
        <v>323</v>
      </c>
      <c r="B564" s="1" t="str">
        <f>HYPERLINK("http://www.ncbi.nlm.nih.gov/pubmed/?term=Dnajc12", "Dnajc12")</f>
        <v>Dnajc12</v>
      </c>
      <c r="C564" s="3">
        <v>2.4940000000000002</v>
      </c>
      <c r="D564" s="22">
        <v>3.27</v>
      </c>
      <c r="E564" s="20">
        <v>4.9630000000000001</v>
      </c>
    </row>
    <row r="565" spans="1:5" x14ac:dyDescent="0.25">
      <c r="A565" t="s">
        <v>324</v>
      </c>
      <c r="B565" s="1" t="str">
        <f>HYPERLINK("http://www.ncbi.nlm.nih.gov/pubmed/?term=Cyfip2", "Cyfip2")</f>
        <v>Cyfip2</v>
      </c>
      <c r="C565" s="3">
        <v>2.165</v>
      </c>
      <c r="D565" s="3">
        <v>2.375</v>
      </c>
      <c r="E565" s="20">
        <v>4.7530000000000001</v>
      </c>
    </row>
    <row r="566" spans="1:5" x14ac:dyDescent="0.25">
      <c r="A566" t="s">
        <v>1688</v>
      </c>
      <c r="B566" s="1" t="str">
        <f>HYPERLINK("http://www.ncbi.nlm.nih.gov/pubmed/?term=9530008L14Rik", "9530008L14Rik")</f>
        <v>9530008L14Rik</v>
      </c>
      <c r="C566" s="12">
        <v>-1.526</v>
      </c>
      <c r="D566" s="11">
        <v>1.585</v>
      </c>
      <c r="E566" s="20">
        <v>4.57</v>
      </c>
    </row>
    <row r="567" spans="1:5" x14ac:dyDescent="0.25">
      <c r="A567" t="s">
        <v>1214</v>
      </c>
      <c r="B567" s="1" t="str">
        <f>HYPERLINK("http://www.ncbi.nlm.nih.gov/pubmed/?term=Dscaml1", "Dscaml1")</f>
        <v>Dscaml1</v>
      </c>
      <c r="C567" s="12">
        <v>-2.6629999999999998</v>
      </c>
      <c r="D567" s="22">
        <v>3.31</v>
      </c>
      <c r="E567" s="20">
        <v>4.9690000000000003</v>
      </c>
    </row>
    <row r="568" spans="1:5" x14ac:dyDescent="0.25">
      <c r="A568" t="s">
        <v>1647</v>
      </c>
      <c r="B568" s="1" t="str">
        <f>HYPERLINK("http://www.ncbi.nlm.nih.gov/pubmed/?term=Tgm2", "Tgm2")</f>
        <v>Tgm2</v>
      </c>
      <c r="C568" s="12">
        <v>0.97330000000000005</v>
      </c>
      <c r="D568" s="3">
        <v>2.6230000000000002</v>
      </c>
      <c r="E568" s="20">
        <v>4.806</v>
      </c>
    </row>
    <row r="569" spans="1:5" x14ac:dyDescent="0.25">
      <c r="A569" t="s">
        <v>1190</v>
      </c>
      <c r="B569" s="1" t="str">
        <f>HYPERLINK("http://www.ncbi.nlm.nih.gov/pubmed/?term=Ttyh2", "Ttyh2")</f>
        <v>Ttyh2</v>
      </c>
      <c r="C569" s="3">
        <v>2.984</v>
      </c>
      <c r="D569" s="22">
        <v>3.5070000000000001</v>
      </c>
      <c r="E569" s="4">
        <v>5.008</v>
      </c>
    </row>
    <row r="570" spans="1:5" x14ac:dyDescent="0.25">
      <c r="A570" t="s">
        <v>38</v>
      </c>
      <c r="B570" s="1" t="str">
        <f>HYPERLINK("http://www.ncbi.nlm.nih.gov/pubmed/?term=BY080835", "BY080835")</f>
        <v>BY080835</v>
      </c>
      <c r="C570" s="12">
        <v>-0.62649999999999995</v>
      </c>
      <c r="D570" s="3">
        <v>2.7330000000000001</v>
      </c>
      <c r="E570" s="20">
        <v>4.8289999999999997</v>
      </c>
    </row>
    <row r="571" spans="1:5" x14ac:dyDescent="0.25">
      <c r="A571" t="s">
        <v>879</v>
      </c>
      <c r="B571" s="1" t="str">
        <f>HYPERLINK("http://www.ncbi.nlm.nih.gov/pubmed/?term=Rfx5", "Rfx5")</f>
        <v>Rfx5</v>
      </c>
      <c r="C571" s="20">
        <v>4.0119999999999996</v>
      </c>
      <c r="D571" s="22">
        <v>3.7069999999999999</v>
      </c>
      <c r="E571" s="4">
        <v>5.1239999999999997</v>
      </c>
    </row>
    <row r="572" spans="1:5" x14ac:dyDescent="0.25">
      <c r="A572" t="s">
        <v>1448</v>
      </c>
      <c r="B572" s="1" t="str">
        <f>HYPERLINK("http://www.ncbi.nlm.nih.gov/pubmed/?term=Ccdc88a", "Ccdc88a")</f>
        <v>Ccdc88a</v>
      </c>
      <c r="C572" s="22">
        <v>3.0619999999999998</v>
      </c>
      <c r="D572" s="3">
        <v>2.8759999999999999</v>
      </c>
      <c r="E572" s="20">
        <v>4.899</v>
      </c>
    </row>
    <row r="573" spans="1:5" x14ac:dyDescent="0.25">
      <c r="A573" t="s">
        <v>1676</v>
      </c>
      <c r="B573" s="1" t="str">
        <f>HYPERLINK("http://www.ncbi.nlm.nih.gov/pubmed/?term=Anks4b", "Anks4b")</f>
        <v>Anks4b</v>
      </c>
      <c r="C573" s="12">
        <v>-3.4119999999999999</v>
      </c>
      <c r="D573" s="3">
        <v>2.0369999999999999</v>
      </c>
      <c r="E573" s="20">
        <v>4.657</v>
      </c>
    </row>
    <row r="574" spans="1:5" x14ac:dyDescent="0.25">
      <c r="A574" t="s">
        <v>1735</v>
      </c>
      <c r="B574" s="1" t="str">
        <f>HYPERLINK("http://www.ncbi.nlm.nih.gov/pubmed/?term=Tnmd", "Tnmd")</f>
        <v>Tnmd</v>
      </c>
      <c r="C574" s="12">
        <v>-2.5609999999999999</v>
      </c>
      <c r="D574" s="12">
        <v>0.14910000000000001</v>
      </c>
      <c r="E574" s="20">
        <v>4.2149999999999999</v>
      </c>
    </row>
    <row r="575" spans="1:5" x14ac:dyDescent="0.25">
      <c r="A575" t="s">
        <v>1745</v>
      </c>
      <c r="B575" s="1" t="str">
        <f>HYPERLINK("http://www.ncbi.nlm.nih.gov/pubmed/?term=Stx1b", "Stx1b")</f>
        <v>Stx1b</v>
      </c>
      <c r="C575" s="12">
        <v>-0.65100000000000002</v>
      </c>
      <c r="D575" s="12">
        <v>0.28960000000000002</v>
      </c>
      <c r="E575" s="20">
        <v>4.2460000000000004</v>
      </c>
    </row>
    <row r="576" spans="1:5" x14ac:dyDescent="0.25">
      <c r="A576" t="s">
        <v>981</v>
      </c>
      <c r="B576" s="1" t="str">
        <f>HYPERLINK("http://www.ncbi.nlm.nih.gov/pubmed/?term=Gse1", "Gse1")</f>
        <v>Gse1</v>
      </c>
      <c r="C576" s="22">
        <v>3.423</v>
      </c>
      <c r="D576" s="22">
        <v>3.859</v>
      </c>
      <c r="E576" s="4">
        <v>5.0720000000000001</v>
      </c>
    </row>
    <row r="577" spans="1:5" x14ac:dyDescent="0.25">
      <c r="A577" t="s">
        <v>631</v>
      </c>
      <c r="B577" s="1" t="str">
        <f>HYPERLINK("http://www.ncbi.nlm.nih.gov/pubmed/?term=Sept1", "Sept1")</f>
        <v>Sept1</v>
      </c>
      <c r="C577" s="22">
        <v>3.968</v>
      </c>
      <c r="D577" s="22">
        <v>3.073</v>
      </c>
      <c r="E577" s="4">
        <v>5.0970000000000004</v>
      </c>
    </row>
    <row r="578" spans="1:5" x14ac:dyDescent="0.25">
      <c r="A578" t="s">
        <v>1861</v>
      </c>
      <c r="B578" s="1" t="str">
        <f>HYPERLINK("http://www.ncbi.nlm.nih.gov/pubmed/?term=Clcn3", "Clcn3")</f>
        <v>Clcn3</v>
      </c>
      <c r="C578" s="3">
        <v>2.7690000000000001</v>
      </c>
      <c r="D578" s="22">
        <v>3.7749999999999999</v>
      </c>
      <c r="E578" s="4">
        <v>5.0519999999999996</v>
      </c>
    </row>
    <row r="579" spans="1:5" x14ac:dyDescent="0.25">
      <c r="A579" t="s">
        <v>1339</v>
      </c>
      <c r="B579" s="1" t="str">
        <f>HYPERLINK("http://www.ncbi.nlm.nih.gov/pubmed/?term=Golga7b", "Golga7b")</f>
        <v>Golga7b</v>
      </c>
      <c r="C579" s="12">
        <v>-3.1030000000000002</v>
      </c>
      <c r="D579" s="11">
        <v>1.869</v>
      </c>
      <c r="E579" s="20">
        <v>4.6100000000000003</v>
      </c>
    </row>
    <row r="580" spans="1:5" x14ac:dyDescent="0.25">
      <c r="A580" t="s">
        <v>1487</v>
      </c>
      <c r="B580" s="1" t="str">
        <f>HYPERLINK("http://www.ncbi.nlm.nih.gov/pubmed/?term=Pigz", "Pigz")</f>
        <v>Pigz</v>
      </c>
      <c r="C580" s="11">
        <v>1.3620000000000001</v>
      </c>
      <c r="D580" s="11">
        <v>1.0620000000000001</v>
      </c>
      <c r="E580" s="20">
        <v>4.4930000000000003</v>
      </c>
    </row>
    <row r="581" spans="1:5" x14ac:dyDescent="0.25">
      <c r="A581" t="s">
        <v>615</v>
      </c>
      <c r="B581" s="1" t="str">
        <f>HYPERLINK("http://www.ncbi.nlm.nih.gov/pubmed/?term=Rassf4", "Rassf4")</f>
        <v>Rassf4</v>
      </c>
      <c r="C581" s="12">
        <v>-2.629</v>
      </c>
      <c r="D581" s="11">
        <v>1.7689999999999999</v>
      </c>
      <c r="E581" s="20">
        <v>4.5860000000000003</v>
      </c>
    </row>
    <row r="582" spans="1:5" x14ac:dyDescent="0.25">
      <c r="A582" t="s">
        <v>748</v>
      </c>
      <c r="B582" s="1" t="str">
        <f>HYPERLINK("http://www.ncbi.nlm.nih.gov/pubmed/?term=Ppm1h", "Ppm1h")</f>
        <v>Ppm1h</v>
      </c>
      <c r="C582" s="22">
        <v>3.5739999999999998</v>
      </c>
      <c r="D582" s="22">
        <v>3.5110000000000001</v>
      </c>
      <c r="E582" s="4">
        <v>5.0010000000000003</v>
      </c>
    </row>
    <row r="583" spans="1:5" x14ac:dyDescent="0.25">
      <c r="A583" t="s">
        <v>1280</v>
      </c>
      <c r="B583" s="1" t="str">
        <f>HYPERLINK("http://www.ncbi.nlm.nih.gov/pubmed/?term=Hsd17b14", "Hsd17b14")</f>
        <v>Hsd17b14</v>
      </c>
      <c r="C583" s="12">
        <v>-1.7270000000000001</v>
      </c>
      <c r="D583" s="11">
        <v>1.0109999999999999</v>
      </c>
      <c r="E583" s="20">
        <v>4.4059999999999997</v>
      </c>
    </row>
    <row r="584" spans="1:5" x14ac:dyDescent="0.25">
      <c r="A584" t="s">
        <v>787</v>
      </c>
      <c r="B584" s="1" t="str">
        <f>HYPERLINK("http://www.ncbi.nlm.nih.gov/pubmed/?term=Ntn5", "Ntn5")</f>
        <v>Ntn5</v>
      </c>
      <c r="C584" s="12">
        <v>-2.282</v>
      </c>
      <c r="D584" s="11">
        <v>1.2330000000000001</v>
      </c>
      <c r="E584" s="20">
        <v>4.4560000000000004</v>
      </c>
    </row>
    <row r="585" spans="1:5" x14ac:dyDescent="0.25">
      <c r="A585" t="s">
        <v>1796</v>
      </c>
      <c r="B585" s="1" t="str">
        <f>HYPERLINK("http://www.ncbi.nlm.nih.gov/pubmed/?term=Adam23", "Adam23")</f>
        <v>Adam23</v>
      </c>
      <c r="C585" s="12">
        <v>-0.81589999999999996</v>
      </c>
      <c r="D585" s="11">
        <v>1.4770000000000001</v>
      </c>
      <c r="E585" s="20">
        <v>4.5119999999999996</v>
      </c>
    </row>
    <row r="586" spans="1:5" x14ac:dyDescent="0.25">
      <c r="A586" t="s">
        <v>1288</v>
      </c>
      <c r="B586" s="1" t="str">
        <f>HYPERLINK("http://www.ncbi.nlm.nih.gov/pubmed/?term=Apoc2", "Apoc2")</f>
        <v>Apoc2</v>
      </c>
      <c r="C586" s="12">
        <v>-1.083</v>
      </c>
      <c r="D586" s="11">
        <v>1.268</v>
      </c>
      <c r="E586" s="20">
        <v>4.4630000000000001</v>
      </c>
    </row>
    <row r="587" spans="1:5" x14ac:dyDescent="0.25">
      <c r="A587" t="s">
        <v>102</v>
      </c>
      <c r="B587" s="1" t="str">
        <f>HYPERLINK("http://www.ncbi.nlm.nih.gov/pubmed/?term=Grk5", "Grk5")</f>
        <v>Grk5</v>
      </c>
      <c r="C587" s="20">
        <v>4.0880000000000001</v>
      </c>
      <c r="D587" s="20">
        <v>4.0830000000000002</v>
      </c>
      <c r="E587" s="4">
        <v>5.1139999999999999</v>
      </c>
    </row>
    <row r="588" spans="1:5" x14ac:dyDescent="0.25">
      <c r="A588" t="s">
        <v>428</v>
      </c>
      <c r="B588" s="1" t="str">
        <f>HYPERLINK("http://www.ncbi.nlm.nih.gov/pubmed/?term=Kdm6a", "Kdm6a")</f>
        <v>Kdm6a</v>
      </c>
      <c r="C588" s="22">
        <v>3.5310000000000001</v>
      </c>
      <c r="D588" s="22">
        <v>3.9860000000000002</v>
      </c>
      <c r="E588" s="4">
        <v>5.0839999999999996</v>
      </c>
    </row>
    <row r="589" spans="1:5" x14ac:dyDescent="0.25">
      <c r="A589" t="s">
        <v>1533</v>
      </c>
      <c r="B589" s="1" t="str">
        <f>HYPERLINK("http://www.ncbi.nlm.nih.gov/pubmed/?term=Hs3st3b1", "Hs3st3b1")</f>
        <v>Hs3st3b1</v>
      </c>
      <c r="C589" s="12">
        <v>0.76449999999999996</v>
      </c>
      <c r="D589" s="22">
        <v>3.282</v>
      </c>
      <c r="E589" s="20">
        <v>4.9169999999999998</v>
      </c>
    </row>
    <row r="590" spans="1:5" x14ac:dyDescent="0.25">
      <c r="A590" t="s">
        <v>2038</v>
      </c>
      <c r="B590" s="1" t="str">
        <f>HYPERLINK("http://www.ncbi.nlm.nih.gov/pubmed/?term=Accn3", "Accn3")</f>
        <v>Accn3</v>
      </c>
      <c r="C590" s="12">
        <v>-3.2090000000000001</v>
      </c>
      <c r="D590" s="12">
        <v>-1.605</v>
      </c>
      <c r="E590" s="20">
        <v>4.1539999999999999</v>
      </c>
    </row>
    <row r="591" spans="1:5" x14ac:dyDescent="0.25">
      <c r="A591" t="s">
        <v>196</v>
      </c>
      <c r="B591" s="1" t="str">
        <f>HYPERLINK("http://www.ncbi.nlm.nih.gov/pubmed/?term=Nkx2-6", "Nkx2-6")</f>
        <v>Nkx2-6</v>
      </c>
      <c r="C591" s="12">
        <v>-3.355</v>
      </c>
      <c r="D591" s="12">
        <v>-0.58379999999999999</v>
      </c>
      <c r="E591" s="20">
        <v>4.1539999999999999</v>
      </c>
    </row>
    <row r="592" spans="1:5" x14ac:dyDescent="0.25">
      <c r="A592" t="s">
        <v>315</v>
      </c>
      <c r="B592" s="1" t="str">
        <f>HYPERLINK("http://www.ncbi.nlm.nih.gov/pubmed/?term=Tnnt2", "Tnnt2")</f>
        <v>Tnnt2</v>
      </c>
      <c r="C592" s="12">
        <v>0.62429999999999997</v>
      </c>
      <c r="D592" s="3">
        <v>2.88</v>
      </c>
      <c r="E592" s="20">
        <v>4.819</v>
      </c>
    </row>
    <row r="593" spans="1:5" x14ac:dyDescent="0.25">
      <c r="A593" t="s">
        <v>1361</v>
      </c>
      <c r="B593" s="1" t="str">
        <f>HYPERLINK("http://www.ncbi.nlm.nih.gov/pubmed/?term=Serpinb10-ps", "Serpinb10-ps")</f>
        <v>Serpinb10-ps</v>
      </c>
      <c r="C593" s="12">
        <v>0.77539999999999998</v>
      </c>
      <c r="D593" s="12">
        <v>0.56310000000000004</v>
      </c>
      <c r="E593" s="20">
        <v>4.33</v>
      </c>
    </row>
    <row r="594" spans="1:5" x14ac:dyDescent="0.25">
      <c r="A594" t="s">
        <v>530</v>
      </c>
      <c r="B594" s="1" t="str">
        <f>HYPERLINK("http://www.ncbi.nlm.nih.gov/pubmed/?term=Adam12", "Adam12")</f>
        <v>Adam12</v>
      </c>
      <c r="C594" s="12">
        <v>-0.35349999999999998</v>
      </c>
      <c r="D594" s="12">
        <v>0.51580000000000004</v>
      </c>
      <c r="E594" s="20">
        <v>4.266</v>
      </c>
    </row>
    <row r="595" spans="1:5" x14ac:dyDescent="0.25">
      <c r="A595" t="s">
        <v>216</v>
      </c>
      <c r="B595" s="1" t="str">
        <f>HYPERLINK("http://www.ncbi.nlm.nih.gov/pubmed/?term=Ttll2", "Ttll2")</f>
        <v>Ttll2</v>
      </c>
      <c r="C595" s="12">
        <v>-4.1379999999999999</v>
      </c>
      <c r="D595" s="12">
        <v>-0.45419999999999999</v>
      </c>
      <c r="E595" s="20">
        <v>4.1449999999999996</v>
      </c>
    </row>
    <row r="596" spans="1:5" x14ac:dyDescent="0.25">
      <c r="A596" t="s">
        <v>338</v>
      </c>
      <c r="B596" s="1" t="str">
        <f>HYPERLINK("http://www.ncbi.nlm.nih.gov/pubmed/?term=Rbm38", "Rbm38")</f>
        <v>Rbm38</v>
      </c>
      <c r="C596" s="3">
        <v>2.7189999999999999</v>
      </c>
      <c r="D596" s="20">
        <v>4.0350000000000001</v>
      </c>
      <c r="E596" s="4">
        <v>5.0739999999999998</v>
      </c>
    </row>
    <row r="597" spans="1:5" x14ac:dyDescent="0.25">
      <c r="A597" t="s">
        <v>2041</v>
      </c>
      <c r="B597" s="1" t="str">
        <f>HYPERLINK("http://www.ncbi.nlm.nih.gov/pubmed/?term=Tspan13", "Tspan13")</f>
        <v>Tspan13</v>
      </c>
      <c r="C597" s="11">
        <v>1.484</v>
      </c>
      <c r="D597" s="22">
        <v>3.5310000000000001</v>
      </c>
      <c r="E597" s="20">
        <v>4.9569999999999999</v>
      </c>
    </row>
    <row r="598" spans="1:5" x14ac:dyDescent="0.25">
      <c r="A598" t="s">
        <v>1775</v>
      </c>
      <c r="B598" s="1" t="str">
        <f>HYPERLINK("http://www.ncbi.nlm.nih.gov/pubmed/?term=Chrna5", "Chrna5")</f>
        <v>Chrna5</v>
      </c>
      <c r="C598" s="12">
        <v>-3.0190000000000001</v>
      </c>
      <c r="D598" s="12">
        <v>-0.80500000000000005</v>
      </c>
      <c r="E598" s="20">
        <v>4.1369999999999996</v>
      </c>
    </row>
    <row r="599" spans="1:5" x14ac:dyDescent="0.25">
      <c r="A599" t="s">
        <v>818</v>
      </c>
      <c r="B599" s="1" t="str">
        <f>HYPERLINK("http://www.ncbi.nlm.nih.gov/pubmed/?term=Batf3", "Batf3")</f>
        <v>Batf3</v>
      </c>
      <c r="C599" s="12">
        <v>-3.621</v>
      </c>
      <c r="D599" s="12">
        <v>-1.571</v>
      </c>
      <c r="E599" s="20">
        <v>4.1340000000000003</v>
      </c>
    </row>
    <row r="600" spans="1:5" x14ac:dyDescent="0.25">
      <c r="A600" t="s">
        <v>1428</v>
      </c>
      <c r="B600" s="1" t="str">
        <f>HYPERLINK("http://www.ncbi.nlm.nih.gov/pubmed/?term=Prg3", "Prg3")</f>
        <v>Prg3</v>
      </c>
      <c r="C600" s="12">
        <v>-4.6660000000000004</v>
      </c>
      <c r="D600" s="12">
        <v>-1.4670000000000001</v>
      </c>
      <c r="E600" s="20">
        <v>4.133</v>
      </c>
    </row>
    <row r="601" spans="1:5" x14ac:dyDescent="0.25">
      <c r="A601" t="s">
        <v>1342</v>
      </c>
      <c r="B601" s="1" t="str">
        <f>HYPERLINK("http://www.ncbi.nlm.nih.gov/pubmed/?term=Slc38a1", "Slc38a1")</f>
        <v>Slc38a1</v>
      </c>
      <c r="C601" s="11">
        <v>1.363</v>
      </c>
      <c r="D601" s="22">
        <v>3.2959999999999998</v>
      </c>
      <c r="E601" s="20">
        <v>4.8929999999999998</v>
      </c>
    </row>
    <row r="602" spans="1:5" x14ac:dyDescent="0.25">
      <c r="A602" t="s">
        <v>664</v>
      </c>
      <c r="B602" s="1" t="str">
        <f>HYPERLINK("http://www.ncbi.nlm.nih.gov/pubmed/?term=Ces5a", "Ces5a")</f>
        <v>Ces5a</v>
      </c>
      <c r="C602" s="12">
        <v>-3.6419999999999999</v>
      </c>
      <c r="D602" s="12">
        <v>0.7994</v>
      </c>
      <c r="E602" s="20">
        <v>4.3150000000000004</v>
      </c>
    </row>
    <row r="603" spans="1:5" x14ac:dyDescent="0.25">
      <c r="A603" t="s">
        <v>1305</v>
      </c>
      <c r="B603" s="1" t="str">
        <f>HYPERLINK("http://www.ncbi.nlm.nih.gov/pubmed/?term=Gphn", "Gphn")</f>
        <v>Gphn</v>
      </c>
      <c r="C603" s="22">
        <v>3.72</v>
      </c>
      <c r="D603" s="22">
        <v>3.7160000000000002</v>
      </c>
      <c r="E603" s="20">
        <v>4.99</v>
      </c>
    </row>
    <row r="604" spans="1:5" x14ac:dyDescent="0.25">
      <c r="A604" t="s">
        <v>1664</v>
      </c>
      <c r="B604" s="1" t="str">
        <f>HYPERLINK("http://www.ncbi.nlm.nih.gov/pubmed/?term=Izumo4", "Izumo4")</f>
        <v>Izumo4</v>
      </c>
      <c r="C604" s="11">
        <v>1.6459999999999999</v>
      </c>
      <c r="D604" s="20">
        <v>4.0419999999999998</v>
      </c>
      <c r="E604" s="4">
        <v>5.0629999999999997</v>
      </c>
    </row>
    <row r="605" spans="1:5" x14ac:dyDescent="0.25">
      <c r="A605" t="s">
        <v>950</v>
      </c>
      <c r="B605" s="1" t="str">
        <f>HYPERLINK("http://www.ncbi.nlm.nih.gov/pubmed/?term=Map3k1", "Map3k1")</f>
        <v>Map3k1</v>
      </c>
      <c r="C605" s="3">
        <v>2.3919999999999999</v>
      </c>
      <c r="D605" s="3">
        <v>2.726</v>
      </c>
      <c r="E605" s="20">
        <v>4.7569999999999997</v>
      </c>
    </row>
    <row r="606" spans="1:5" x14ac:dyDescent="0.25">
      <c r="A606" t="s">
        <v>1788</v>
      </c>
      <c r="B606" s="1" t="str">
        <f>HYPERLINK("http://www.ncbi.nlm.nih.gov/pubmed/?term=Mfhas1", "Mfhas1")</f>
        <v>Mfhas1</v>
      </c>
      <c r="C606" s="22">
        <v>3.133</v>
      </c>
      <c r="D606" s="22">
        <v>3.2</v>
      </c>
      <c r="E606" s="20">
        <v>4.859</v>
      </c>
    </row>
    <row r="607" spans="1:5" x14ac:dyDescent="0.25">
      <c r="A607" t="s">
        <v>1780</v>
      </c>
      <c r="B607" s="1" t="str">
        <f>HYPERLINK("http://www.ncbi.nlm.nih.gov/pubmed/?term=Megf9", "Megf9")</f>
        <v>Megf9</v>
      </c>
      <c r="C607" s="22">
        <v>3.0960000000000001</v>
      </c>
      <c r="D607" s="22">
        <v>3.3149999999999999</v>
      </c>
      <c r="E607" s="20">
        <v>4.883</v>
      </c>
    </row>
    <row r="608" spans="1:5" x14ac:dyDescent="0.25">
      <c r="A608" t="s">
        <v>87</v>
      </c>
      <c r="B608" s="1" t="str">
        <f>HYPERLINK("http://www.ncbi.nlm.nih.gov/pubmed/?term=Erbb2", "Erbb2")</f>
        <v>Erbb2</v>
      </c>
      <c r="C608" s="11">
        <v>1.8640000000000001</v>
      </c>
      <c r="D608" s="22">
        <v>3.6930000000000001</v>
      </c>
      <c r="E608" s="20">
        <v>4.968</v>
      </c>
    </row>
    <row r="609" spans="1:5" x14ac:dyDescent="0.25">
      <c r="A609" t="s">
        <v>421</v>
      </c>
      <c r="B609" s="1" t="str">
        <f>HYPERLINK("http://www.ncbi.nlm.nih.gov/pubmed/?term=Glb1", "Glb1")</f>
        <v>Glb1</v>
      </c>
      <c r="C609" s="22">
        <v>3.7040000000000002</v>
      </c>
      <c r="D609" s="22">
        <v>3.7519999999999998</v>
      </c>
      <c r="E609" s="20">
        <v>4.976</v>
      </c>
    </row>
    <row r="610" spans="1:5" x14ac:dyDescent="0.25">
      <c r="A610" t="s">
        <v>720</v>
      </c>
      <c r="B610" s="1" t="str">
        <f>HYPERLINK("http://www.ncbi.nlm.nih.gov/pubmed/?term=Rfwd2", "Rfwd2")</f>
        <v>Rfwd2</v>
      </c>
      <c r="C610" s="20">
        <v>4.01</v>
      </c>
      <c r="D610" s="22">
        <v>3.92</v>
      </c>
      <c r="E610" s="4">
        <v>5.03</v>
      </c>
    </row>
    <row r="611" spans="1:5" x14ac:dyDescent="0.25">
      <c r="A611" t="s">
        <v>60</v>
      </c>
      <c r="B611" s="1" t="str">
        <f>HYPERLINK("http://www.ncbi.nlm.nih.gov/pubmed/?term=5031414D18Rik", "5031414D18Rik")</f>
        <v>5031414D18Rik</v>
      </c>
      <c r="C611" s="11">
        <v>1.552</v>
      </c>
      <c r="D611" s="12">
        <v>-0.96130000000000004</v>
      </c>
      <c r="E611" s="20">
        <v>4.4610000000000003</v>
      </c>
    </row>
    <row r="612" spans="1:5" x14ac:dyDescent="0.25">
      <c r="A612" t="s">
        <v>122</v>
      </c>
      <c r="B612" s="1" t="str">
        <f>HYPERLINK("http://www.ncbi.nlm.nih.gov/pubmed/?term=Sox21", "Sox21")</f>
        <v>Sox21</v>
      </c>
      <c r="C612" s="12">
        <v>-3.9359999999999999</v>
      </c>
      <c r="D612" s="11">
        <v>1.587</v>
      </c>
      <c r="E612" s="20">
        <v>4.468</v>
      </c>
    </row>
    <row r="613" spans="1:5" x14ac:dyDescent="0.25">
      <c r="A613" t="s">
        <v>1001</v>
      </c>
      <c r="B613" s="1" t="str">
        <f>HYPERLINK("http://www.ncbi.nlm.nih.gov/pubmed/?term=Zfp771", "Zfp771")</f>
        <v>Zfp771</v>
      </c>
      <c r="C613" s="22">
        <v>3.851</v>
      </c>
      <c r="D613" s="22">
        <v>3.4159999999999999</v>
      </c>
      <c r="E613" s="20">
        <v>4.9909999999999997</v>
      </c>
    </row>
    <row r="614" spans="1:5" x14ac:dyDescent="0.25">
      <c r="A614" t="s">
        <v>1010</v>
      </c>
      <c r="B614" s="1" t="str">
        <f>HYPERLINK("http://www.ncbi.nlm.nih.gov/pubmed/?term=Slamf7", "Slamf7")</f>
        <v>Slamf7</v>
      </c>
      <c r="C614" s="12">
        <v>-3.2709999999999999</v>
      </c>
      <c r="D614" s="12">
        <v>-0.71660000000000001</v>
      </c>
      <c r="E614" s="20">
        <v>4.0940000000000003</v>
      </c>
    </row>
    <row r="615" spans="1:5" x14ac:dyDescent="0.25">
      <c r="A615" t="s">
        <v>643</v>
      </c>
      <c r="B615" s="1" t="str">
        <f>HYPERLINK("http://www.ncbi.nlm.nih.gov/pubmed/?term=Tnf", "Tnf")</f>
        <v>Tnf</v>
      </c>
      <c r="C615" s="12">
        <v>-1.929</v>
      </c>
      <c r="D615" s="12">
        <v>0.65049999999999997</v>
      </c>
      <c r="E615" s="20">
        <v>4.242</v>
      </c>
    </row>
    <row r="616" spans="1:5" x14ac:dyDescent="0.25">
      <c r="A616" t="s">
        <v>851</v>
      </c>
      <c r="B616" s="1" t="str">
        <f>HYPERLINK("http://www.ncbi.nlm.nih.gov/pubmed/?term=Dhh", "Dhh")</f>
        <v>Dhh</v>
      </c>
      <c r="C616" s="12">
        <v>-2.5249999999999999</v>
      </c>
      <c r="D616" s="12">
        <v>-0.88729999999999998</v>
      </c>
      <c r="E616" s="20">
        <v>4.09</v>
      </c>
    </row>
    <row r="617" spans="1:5" x14ac:dyDescent="0.25">
      <c r="A617" t="s">
        <v>1354</v>
      </c>
      <c r="B617" s="1" t="str">
        <f>HYPERLINK("http://www.ncbi.nlm.nih.gov/pubmed/?term=Rbpj", "Rbpj")</f>
        <v>Rbpj</v>
      </c>
      <c r="C617" s="3">
        <v>2.964</v>
      </c>
      <c r="D617" s="22">
        <v>3.5249999999999999</v>
      </c>
      <c r="E617" s="20">
        <v>4.9039999999999999</v>
      </c>
    </row>
    <row r="618" spans="1:5" x14ac:dyDescent="0.25">
      <c r="A618" t="s">
        <v>1186</v>
      </c>
      <c r="B618" s="1" t="str">
        <f>HYPERLINK("http://www.ncbi.nlm.nih.gov/pubmed/?term=Nudt17", "Nudt17")</f>
        <v>Nudt17</v>
      </c>
      <c r="C618" s="22">
        <v>3.1360000000000001</v>
      </c>
      <c r="D618" s="3">
        <v>2.3820000000000001</v>
      </c>
      <c r="E618" s="20">
        <v>4.8140000000000001</v>
      </c>
    </row>
    <row r="619" spans="1:5" x14ac:dyDescent="0.25">
      <c r="A619" t="s">
        <v>1396</v>
      </c>
      <c r="B619" s="1" t="str">
        <f>HYPERLINK("http://www.ncbi.nlm.nih.gov/pubmed/?term=Gpr133", "Gpr133")</f>
        <v>Gpr133</v>
      </c>
      <c r="C619" s="12">
        <v>-2.6920000000000002</v>
      </c>
      <c r="D619" s="11">
        <v>1.9850000000000001</v>
      </c>
      <c r="E619" s="20">
        <v>4.5449999999999999</v>
      </c>
    </row>
    <row r="620" spans="1:5" x14ac:dyDescent="0.25">
      <c r="A620" t="s">
        <v>1437</v>
      </c>
      <c r="B620" s="1" t="str">
        <f>HYPERLINK("http://www.ncbi.nlm.nih.gov/pubmed/?term=Gh", "Gh")</f>
        <v>Gh</v>
      </c>
      <c r="C620" s="12">
        <v>-1.6020000000000001</v>
      </c>
      <c r="D620" s="12">
        <v>-0.48089999999999999</v>
      </c>
      <c r="E620" s="20">
        <v>4.0839999999999996</v>
      </c>
    </row>
    <row r="621" spans="1:5" x14ac:dyDescent="0.25">
      <c r="A621" t="s">
        <v>1522</v>
      </c>
      <c r="B621" s="1" t="str">
        <f>HYPERLINK("http://www.ncbi.nlm.nih.gov/pubmed/?term=Katnal1", "Katnal1")</f>
        <v>Katnal1</v>
      </c>
      <c r="C621" s="3">
        <v>2.0369999999999999</v>
      </c>
      <c r="D621" s="3">
        <v>2.19</v>
      </c>
      <c r="E621" s="20">
        <v>4.5910000000000002</v>
      </c>
    </row>
    <row r="622" spans="1:5" x14ac:dyDescent="0.25">
      <c r="A622" t="s">
        <v>1377</v>
      </c>
      <c r="B622" s="1" t="str">
        <f>HYPERLINK("http://www.ncbi.nlm.nih.gov/pubmed/?term=Gmcl1", "Gmcl1")</f>
        <v>Gmcl1</v>
      </c>
      <c r="C622" s="22">
        <v>3.5990000000000002</v>
      </c>
      <c r="D622" s="22">
        <v>3.6829999999999998</v>
      </c>
      <c r="E622" s="20">
        <v>4.9340000000000002</v>
      </c>
    </row>
    <row r="623" spans="1:5" x14ac:dyDescent="0.25">
      <c r="A623" t="s">
        <v>55</v>
      </c>
      <c r="B623" s="1" t="str">
        <f>HYPERLINK("http://www.ncbi.nlm.nih.gov/pubmed/?term=Atg13", "Atg13")</f>
        <v>Atg13</v>
      </c>
      <c r="C623" s="22">
        <v>3.4420000000000002</v>
      </c>
      <c r="D623" s="22">
        <v>3.8220000000000001</v>
      </c>
      <c r="E623" s="20">
        <v>4.9589999999999996</v>
      </c>
    </row>
    <row r="624" spans="1:5" x14ac:dyDescent="0.25">
      <c r="A624" t="s">
        <v>157</v>
      </c>
      <c r="B624" s="1" t="str">
        <f>HYPERLINK("http://www.ncbi.nlm.nih.gov/pubmed/?term=Mpi", "Mpi")</f>
        <v>Mpi</v>
      </c>
      <c r="C624" s="3">
        <v>2.6720000000000002</v>
      </c>
      <c r="D624" s="22">
        <v>3.6960000000000002</v>
      </c>
      <c r="E624" s="20">
        <v>4.9210000000000003</v>
      </c>
    </row>
    <row r="625" spans="1:5" x14ac:dyDescent="0.25">
      <c r="A625" t="s">
        <v>1702</v>
      </c>
      <c r="B625" s="1" t="str">
        <f>HYPERLINK("http://www.ncbi.nlm.nih.gov/pubmed/?term=Ceacam18", "Ceacam18")</f>
        <v>Ceacam18</v>
      </c>
      <c r="C625" s="12">
        <v>-3.9569999999999999</v>
      </c>
      <c r="D625" s="12">
        <v>-0.85419999999999996</v>
      </c>
      <c r="E625" s="20">
        <v>4.0650000000000004</v>
      </c>
    </row>
    <row r="626" spans="1:5" x14ac:dyDescent="0.25">
      <c r="A626" t="s">
        <v>494</v>
      </c>
      <c r="B626" s="1" t="str">
        <f>HYPERLINK("http://www.ncbi.nlm.nih.gov/pubmed/?term=Nudt1", "Nudt1")</f>
        <v>Nudt1</v>
      </c>
      <c r="C626" s="22">
        <v>3.8109999999999999</v>
      </c>
      <c r="D626" s="22">
        <v>3.6219999999999999</v>
      </c>
      <c r="E626" s="20">
        <v>4.944</v>
      </c>
    </row>
    <row r="627" spans="1:5" x14ac:dyDescent="0.25">
      <c r="A627" t="s">
        <v>1732</v>
      </c>
      <c r="B627" s="1" t="str">
        <f>HYPERLINK("http://www.ncbi.nlm.nih.gov/pubmed/?term=Uts2d", "Uts2d")</f>
        <v>Uts2d</v>
      </c>
      <c r="C627" s="12">
        <v>-6.1459999999999999</v>
      </c>
      <c r="D627" s="12">
        <v>-4.6559999999999997E-2</v>
      </c>
      <c r="E627" s="20">
        <v>4.0579999999999998</v>
      </c>
    </row>
    <row r="628" spans="1:5" x14ac:dyDescent="0.25">
      <c r="A628" t="s">
        <v>1657</v>
      </c>
      <c r="B628" s="1" t="str">
        <f>HYPERLINK("http://www.ncbi.nlm.nih.gov/pubmed/?term=Rhobtb1", "Rhobtb1")</f>
        <v>Rhobtb1</v>
      </c>
      <c r="C628" s="11">
        <v>1.2170000000000001</v>
      </c>
      <c r="D628" s="3">
        <v>2.7650000000000001</v>
      </c>
      <c r="E628" s="20">
        <v>4.6859999999999999</v>
      </c>
    </row>
    <row r="629" spans="1:5" x14ac:dyDescent="0.25">
      <c r="A629" t="s">
        <v>1991</v>
      </c>
      <c r="B629" s="1" t="str">
        <f>HYPERLINK("http://www.ncbi.nlm.nih.gov/pubmed/?term=Pacsin3", "Pacsin3")</f>
        <v>Pacsin3</v>
      </c>
      <c r="C629" s="22">
        <v>3.1749999999999998</v>
      </c>
      <c r="D629" s="22">
        <v>3.59</v>
      </c>
      <c r="E629" s="20">
        <v>4.8719999999999999</v>
      </c>
    </row>
    <row r="630" spans="1:5" x14ac:dyDescent="0.25">
      <c r="A630" t="s">
        <v>852</v>
      </c>
      <c r="B630" s="1" t="str">
        <f>HYPERLINK("http://www.ncbi.nlm.nih.gov/pubmed/?term=Bicd1", "Bicd1")</f>
        <v>Bicd1</v>
      </c>
      <c r="C630" s="3">
        <v>2.8180000000000001</v>
      </c>
      <c r="D630" s="3">
        <v>2.246</v>
      </c>
      <c r="E630" s="20">
        <v>4.6929999999999996</v>
      </c>
    </row>
    <row r="631" spans="1:5" x14ac:dyDescent="0.25">
      <c r="A631" t="s">
        <v>752</v>
      </c>
      <c r="B631" s="1" t="str">
        <f>HYPERLINK("http://www.ncbi.nlm.nih.gov/pubmed/?term=Ccdc88b", "Ccdc88b")</f>
        <v>Ccdc88b</v>
      </c>
      <c r="C631" s="12">
        <v>0.83840000000000003</v>
      </c>
      <c r="D631" s="3">
        <v>2.81</v>
      </c>
      <c r="E631" s="20">
        <v>4.6890000000000001</v>
      </c>
    </row>
    <row r="632" spans="1:5" x14ac:dyDescent="0.25">
      <c r="A632" t="s">
        <v>1836</v>
      </c>
      <c r="B632" s="1" t="str">
        <f>HYPERLINK("http://www.ncbi.nlm.nih.gov/pubmed/?term=Arfgap3", "Arfgap3")</f>
        <v>Arfgap3</v>
      </c>
      <c r="C632" s="3">
        <v>2.484</v>
      </c>
      <c r="D632" s="22">
        <v>3.35</v>
      </c>
      <c r="E632" s="20">
        <v>4.8099999999999996</v>
      </c>
    </row>
    <row r="633" spans="1:5" x14ac:dyDescent="0.25">
      <c r="A633" t="s">
        <v>692</v>
      </c>
      <c r="B633" s="1" t="str">
        <f>HYPERLINK("http://www.ncbi.nlm.nih.gov/pubmed/?term=Twf2", "Twf2")</f>
        <v>Twf2</v>
      </c>
      <c r="C633" s="22">
        <v>3.5859999999999999</v>
      </c>
      <c r="D633" s="22">
        <v>3.8490000000000002</v>
      </c>
      <c r="E633" s="20">
        <v>4.9249999999999998</v>
      </c>
    </row>
    <row r="634" spans="1:5" x14ac:dyDescent="0.25">
      <c r="A634" t="s">
        <v>545</v>
      </c>
      <c r="B634" s="1" t="str">
        <f>HYPERLINK("http://www.ncbi.nlm.nih.gov/pubmed/?term=Ces2c", "Ces2c")</f>
        <v>Ces2c</v>
      </c>
      <c r="C634" s="12">
        <v>-3.8559999999999999</v>
      </c>
      <c r="D634" s="12">
        <v>0.21260000000000001</v>
      </c>
      <c r="E634" s="20">
        <v>4.0830000000000002</v>
      </c>
    </row>
    <row r="635" spans="1:5" x14ac:dyDescent="0.25">
      <c r="A635" t="s">
        <v>612</v>
      </c>
      <c r="B635" s="1" t="str">
        <f>HYPERLINK("http://www.ncbi.nlm.nih.gov/pubmed/?term=Wdr31", "Wdr31")</f>
        <v>Wdr31</v>
      </c>
      <c r="C635" s="11">
        <v>1.855</v>
      </c>
      <c r="D635" s="3">
        <v>2.2250000000000001</v>
      </c>
      <c r="E635" s="20">
        <v>4.548</v>
      </c>
    </row>
    <row r="636" spans="1:5" x14ac:dyDescent="0.25">
      <c r="A636" t="s">
        <v>490</v>
      </c>
      <c r="B636" s="1" t="str">
        <f>HYPERLINK("http://www.ncbi.nlm.nih.gov/pubmed/?term=Polg2", "Polg2")</f>
        <v>Polg2</v>
      </c>
      <c r="C636" s="22">
        <v>3.895</v>
      </c>
      <c r="D636" s="22">
        <v>3.2170000000000001</v>
      </c>
      <c r="E636" s="20">
        <v>4.93</v>
      </c>
    </row>
    <row r="637" spans="1:5" x14ac:dyDescent="0.25">
      <c r="A637" t="s">
        <v>1119</v>
      </c>
      <c r="B637" s="1" t="str">
        <f>HYPERLINK("http://www.ncbi.nlm.nih.gov/pubmed/?term=Arid5a", "Arid5a")</f>
        <v>Arid5a</v>
      </c>
      <c r="C637" s="3">
        <v>2.7040000000000002</v>
      </c>
      <c r="D637" s="22">
        <v>3.6739999999999999</v>
      </c>
      <c r="E637" s="20">
        <v>4.8769999999999998</v>
      </c>
    </row>
    <row r="638" spans="1:5" x14ac:dyDescent="0.25">
      <c r="A638" t="s">
        <v>864</v>
      </c>
      <c r="B638" s="1" t="str">
        <f>HYPERLINK("http://www.ncbi.nlm.nih.gov/pubmed/?term=Praf2", "Praf2")</f>
        <v>Praf2</v>
      </c>
      <c r="C638" s="22">
        <v>3.4369999999999998</v>
      </c>
      <c r="D638" s="22">
        <v>3.6379999999999999</v>
      </c>
      <c r="E638" s="20">
        <v>4.8600000000000003</v>
      </c>
    </row>
    <row r="639" spans="1:5" x14ac:dyDescent="0.25">
      <c r="A639" t="s">
        <v>1506</v>
      </c>
      <c r="B639" s="1" t="str">
        <f>HYPERLINK("http://www.ncbi.nlm.nih.gov/pubmed/?term=Krt20", "Krt20")</f>
        <v>Krt20</v>
      </c>
      <c r="C639" s="12">
        <v>-2.8940000000000001</v>
      </c>
      <c r="D639" s="22">
        <v>3.327</v>
      </c>
      <c r="E639" s="20">
        <v>4.7869999999999999</v>
      </c>
    </row>
    <row r="640" spans="1:5" x14ac:dyDescent="0.25">
      <c r="A640" t="s">
        <v>427</v>
      </c>
      <c r="B640" s="1" t="str">
        <f>HYPERLINK("http://www.ncbi.nlm.nih.gov/pubmed/?term=Gpr132", "Gpr132")</f>
        <v>Gpr132</v>
      </c>
      <c r="C640" s="11">
        <v>1.587</v>
      </c>
      <c r="D640" s="12">
        <v>0.55989999999999995</v>
      </c>
      <c r="E640" s="20">
        <v>4.3819999999999997</v>
      </c>
    </row>
    <row r="641" spans="1:5" x14ac:dyDescent="0.25">
      <c r="A641" t="s">
        <v>2014</v>
      </c>
      <c r="B641" s="1" t="str">
        <f>HYPERLINK("http://www.ncbi.nlm.nih.gov/pubmed/?term=Gm17684", "Gm17684")</f>
        <v>Gm17684</v>
      </c>
      <c r="C641" s="22">
        <v>3.1269999999999998</v>
      </c>
      <c r="D641" s="3">
        <v>2.8820000000000001</v>
      </c>
      <c r="E641" s="20">
        <v>4.7370000000000001</v>
      </c>
    </row>
    <row r="642" spans="1:5" x14ac:dyDescent="0.25">
      <c r="A642" t="s">
        <v>653</v>
      </c>
      <c r="B642" s="1" t="str">
        <f>HYPERLINK("http://www.ncbi.nlm.nih.gov/pubmed/?term=1110038D17Rik", "1110038D17Rik")</f>
        <v>1110038D17Rik</v>
      </c>
      <c r="C642" s="22">
        <v>3.3460000000000001</v>
      </c>
      <c r="D642" s="22">
        <v>3.5819999999999999</v>
      </c>
      <c r="E642" s="20">
        <v>4.84</v>
      </c>
    </row>
    <row r="643" spans="1:5" x14ac:dyDescent="0.25">
      <c r="A643" t="s">
        <v>802</v>
      </c>
      <c r="B643" s="1" t="str">
        <f>HYPERLINK("http://www.ncbi.nlm.nih.gov/pubmed/?term=Nfatc2", "Nfatc2")</f>
        <v>Nfatc2</v>
      </c>
      <c r="C643" s="12">
        <v>6.5780000000000005E-2</v>
      </c>
      <c r="D643" s="3">
        <v>2.7519999999999998</v>
      </c>
      <c r="E643" s="20">
        <v>4.6470000000000002</v>
      </c>
    </row>
    <row r="644" spans="1:5" x14ac:dyDescent="0.25">
      <c r="A644" t="s">
        <v>1985</v>
      </c>
      <c r="B644" s="1" t="str">
        <f>HYPERLINK("http://www.ncbi.nlm.nih.gov/pubmed/?term=Ip6k3", "Ip6k3")</f>
        <v>Ip6k3</v>
      </c>
      <c r="C644" s="12">
        <v>-5.3440000000000003</v>
      </c>
      <c r="D644" s="12">
        <v>-1.2729999999999999</v>
      </c>
      <c r="E644" s="20">
        <v>4.0060000000000002</v>
      </c>
    </row>
    <row r="645" spans="1:5" x14ac:dyDescent="0.25">
      <c r="A645" t="s">
        <v>1547</v>
      </c>
      <c r="B645" s="1" t="str">
        <f>HYPERLINK("http://www.ncbi.nlm.nih.gov/pubmed/?term=2810432L12Rik", "2810432L12Rik")</f>
        <v>2810432L12Rik</v>
      </c>
      <c r="C645" s="11">
        <v>1.8660000000000001</v>
      </c>
      <c r="D645" s="3">
        <v>2.198</v>
      </c>
      <c r="E645" s="20">
        <v>4.5090000000000003</v>
      </c>
    </row>
    <row r="646" spans="1:5" x14ac:dyDescent="0.25">
      <c r="A646" t="s">
        <v>597</v>
      </c>
      <c r="B646" s="1" t="str">
        <f>HYPERLINK("http://www.ncbi.nlm.nih.gov/pubmed/?term=Sesn2", "Sesn2")</f>
        <v>Sesn2</v>
      </c>
      <c r="C646" s="22">
        <v>3.5720000000000001</v>
      </c>
      <c r="D646" s="3">
        <v>2.5459999999999998</v>
      </c>
      <c r="E646" s="20">
        <v>4.8259999999999996</v>
      </c>
    </row>
    <row r="647" spans="1:5" x14ac:dyDescent="0.25">
      <c r="A647" t="s">
        <v>1591</v>
      </c>
      <c r="B647" s="1" t="str">
        <f>HYPERLINK("http://www.ncbi.nlm.nih.gov/pubmed/?term=Pex10", "Pex10")</f>
        <v>Pex10</v>
      </c>
      <c r="C647" s="22">
        <v>3.206</v>
      </c>
      <c r="D647" s="11">
        <v>1.8779999999999999</v>
      </c>
      <c r="E647" s="20">
        <v>4.7409999999999997</v>
      </c>
    </row>
    <row r="648" spans="1:5" x14ac:dyDescent="0.25">
      <c r="A648" t="s">
        <v>249</v>
      </c>
      <c r="B648" s="1" t="str">
        <f>HYPERLINK("http://www.ncbi.nlm.nih.gov/pubmed/?term=Entpd4", "Entpd4")</f>
        <v>Entpd4</v>
      </c>
      <c r="C648" s="3">
        <v>2.2469999999999999</v>
      </c>
      <c r="D648" s="3">
        <v>2.911</v>
      </c>
      <c r="E648" s="20">
        <v>4.6719999999999997</v>
      </c>
    </row>
    <row r="649" spans="1:5" x14ac:dyDescent="0.25">
      <c r="A649" t="s">
        <v>232</v>
      </c>
      <c r="B649" s="1" t="str">
        <f>HYPERLINK("http://www.ncbi.nlm.nih.gov/pubmed/?term=P2rx3", "P2rx3")</f>
        <v>P2rx3</v>
      </c>
      <c r="C649" s="12">
        <v>-1.9510000000000001</v>
      </c>
      <c r="D649" s="12">
        <v>-0.56950000000000001</v>
      </c>
      <c r="E649" s="22">
        <v>3.9950000000000001</v>
      </c>
    </row>
    <row r="650" spans="1:5" x14ac:dyDescent="0.25">
      <c r="A650" t="s">
        <v>1877</v>
      </c>
      <c r="B650" s="1" t="str">
        <f>HYPERLINK("http://www.ncbi.nlm.nih.gov/pubmed/?term=Ebi3", "Ebi3")</f>
        <v>Ebi3</v>
      </c>
      <c r="C650" s="12">
        <v>-1.331</v>
      </c>
      <c r="D650" s="11">
        <v>1.623</v>
      </c>
      <c r="E650" s="20">
        <v>4.3630000000000004</v>
      </c>
    </row>
    <row r="651" spans="1:5" x14ac:dyDescent="0.25">
      <c r="A651" t="s">
        <v>899</v>
      </c>
      <c r="B651" s="1" t="str">
        <f>HYPERLINK("http://www.ncbi.nlm.nih.gov/pubmed/?term=Kdm2b", "Kdm2b")</f>
        <v>Kdm2b</v>
      </c>
      <c r="C651" s="22">
        <v>3.5329999999999999</v>
      </c>
      <c r="D651" s="22">
        <v>3.286</v>
      </c>
      <c r="E651" s="20">
        <v>4.7949999999999999</v>
      </c>
    </row>
    <row r="652" spans="1:5" x14ac:dyDescent="0.25">
      <c r="A652" t="s">
        <v>1111</v>
      </c>
      <c r="B652" s="1" t="str">
        <f>HYPERLINK("http://www.ncbi.nlm.nih.gov/pubmed/?term=Stat5b", "Stat5b")</f>
        <v>Stat5b</v>
      </c>
      <c r="C652" s="22">
        <v>3.2429999999999999</v>
      </c>
      <c r="D652" s="3">
        <v>2.9780000000000002</v>
      </c>
      <c r="E652" s="20">
        <v>4.7270000000000003</v>
      </c>
    </row>
    <row r="653" spans="1:5" x14ac:dyDescent="0.25">
      <c r="A653" t="s">
        <v>454</v>
      </c>
      <c r="B653" s="1" t="str">
        <f>HYPERLINK("http://www.ncbi.nlm.nih.gov/pubmed/?term=Trappc6a", "Trappc6a")</f>
        <v>Trappc6a</v>
      </c>
      <c r="C653" s="22">
        <v>3.7389999999999999</v>
      </c>
      <c r="D653" s="22">
        <v>3.71</v>
      </c>
      <c r="E653" s="20">
        <v>4.8419999999999996</v>
      </c>
    </row>
    <row r="654" spans="1:5" x14ac:dyDescent="0.25">
      <c r="A654" t="s">
        <v>1222</v>
      </c>
      <c r="B654" s="1" t="str">
        <f>HYPERLINK("http://www.ncbi.nlm.nih.gov/pubmed/?term=Igf1", "Igf1")</f>
        <v>Igf1</v>
      </c>
      <c r="C654" s="12">
        <v>-1.431</v>
      </c>
      <c r="D654" s="3">
        <v>2.6589999999999998</v>
      </c>
      <c r="E654" s="20">
        <v>4.5880000000000001</v>
      </c>
    </row>
    <row r="655" spans="1:5" x14ac:dyDescent="0.25">
      <c r="A655" t="s">
        <v>1970</v>
      </c>
      <c r="B655" s="1" t="str">
        <f>HYPERLINK("http://www.ncbi.nlm.nih.gov/pubmed/?term=Phip", "Phip")</f>
        <v>Phip</v>
      </c>
      <c r="C655" s="22">
        <v>3.581</v>
      </c>
      <c r="D655" s="22">
        <v>3.843</v>
      </c>
      <c r="E655" s="20">
        <v>4.8609999999999998</v>
      </c>
    </row>
    <row r="656" spans="1:5" x14ac:dyDescent="0.25">
      <c r="A656" t="s">
        <v>815</v>
      </c>
      <c r="B656" s="1" t="str">
        <f>HYPERLINK("http://www.ncbi.nlm.nih.gov/pubmed/?term=Cxcl2", "Cxcl2")</f>
        <v>Cxcl2</v>
      </c>
      <c r="C656" s="12">
        <v>-1.2170000000000001</v>
      </c>
      <c r="D656" s="3">
        <v>2.4129999999999998</v>
      </c>
      <c r="E656" s="20">
        <v>4.5259999999999998</v>
      </c>
    </row>
    <row r="657" spans="1:5" x14ac:dyDescent="0.25">
      <c r="A657" t="s">
        <v>714</v>
      </c>
      <c r="B657" s="1" t="str">
        <f>HYPERLINK("http://www.ncbi.nlm.nih.gov/pubmed/?term=5330417C22Rik", "5330417C22Rik")</f>
        <v>5330417C22Rik</v>
      </c>
      <c r="C657" s="12">
        <v>-3.109</v>
      </c>
      <c r="D657" s="22">
        <v>3.4089999999999998</v>
      </c>
      <c r="E657" s="20">
        <v>4.7560000000000002</v>
      </c>
    </row>
    <row r="658" spans="1:5" x14ac:dyDescent="0.25">
      <c r="A658" t="s">
        <v>8</v>
      </c>
      <c r="B658" s="1" t="str">
        <f>HYPERLINK("http://www.ncbi.nlm.nih.gov/pubmed/?term=Adamts13", "Adamts13")</f>
        <v>Adamts13</v>
      </c>
      <c r="C658" s="12">
        <v>-4.2510000000000003</v>
      </c>
      <c r="D658" s="12">
        <v>0.49880000000000002</v>
      </c>
      <c r="E658" s="20">
        <v>4.0720000000000001</v>
      </c>
    </row>
    <row r="659" spans="1:5" x14ac:dyDescent="0.25">
      <c r="A659" t="s">
        <v>1014</v>
      </c>
      <c r="B659" s="1" t="str">
        <f>HYPERLINK("http://www.ncbi.nlm.nih.gov/pubmed/?term=Gtf2ird2", "Gtf2ird2")</f>
        <v>Gtf2ird2</v>
      </c>
      <c r="C659" s="11">
        <v>1.847</v>
      </c>
      <c r="D659" s="11">
        <v>1.97</v>
      </c>
      <c r="E659" s="20">
        <v>4.4109999999999996</v>
      </c>
    </row>
    <row r="660" spans="1:5" x14ac:dyDescent="0.25">
      <c r="A660" t="s">
        <v>308</v>
      </c>
      <c r="B660" s="1" t="str">
        <f>HYPERLINK("http://www.ncbi.nlm.nih.gov/pubmed/?term=A830010M20Rik", "A830010M20Rik")</f>
        <v>A830010M20Rik</v>
      </c>
      <c r="C660" s="3">
        <v>2.105</v>
      </c>
      <c r="D660" s="3">
        <v>2.863</v>
      </c>
      <c r="E660" s="20">
        <v>4.6150000000000002</v>
      </c>
    </row>
    <row r="661" spans="1:5" x14ac:dyDescent="0.25">
      <c r="A661" t="s">
        <v>1191</v>
      </c>
      <c r="B661" s="1" t="str">
        <f>HYPERLINK("http://www.ncbi.nlm.nih.gov/pubmed/?term=Adap1", "Adap1")</f>
        <v>Adap1</v>
      </c>
      <c r="C661" s="12">
        <v>-2.2519999999999998</v>
      </c>
      <c r="D661" s="11">
        <v>1.679</v>
      </c>
      <c r="E661" s="20">
        <v>4.3410000000000002</v>
      </c>
    </row>
    <row r="662" spans="1:5" x14ac:dyDescent="0.25">
      <c r="A662" t="s">
        <v>437</v>
      </c>
      <c r="B662" s="1" t="str">
        <f>HYPERLINK("http://www.ncbi.nlm.nih.gov/pubmed/?term=Adcy1", "Adcy1")</f>
        <v>Adcy1</v>
      </c>
      <c r="C662" s="12">
        <v>7.9680000000000001E-2</v>
      </c>
      <c r="D662" s="12">
        <v>-0.70120000000000005</v>
      </c>
      <c r="E662" s="22">
        <v>3.97</v>
      </c>
    </row>
    <row r="663" spans="1:5" x14ac:dyDescent="0.25">
      <c r="A663" t="s">
        <v>2012</v>
      </c>
      <c r="B663" s="1" t="str">
        <f>HYPERLINK("http://www.ncbi.nlm.nih.gov/pubmed/?term=Numb", "Numb")</f>
        <v>Numb</v>
      </c>
      <c r="C663" s="22">
        <v>3.5539999999999998</v>
      </c>
      <c r="D663" s="22">
        <v>3.7370000000000001</v>
      </c>
      <c r="E663" s="20">
        <v>4.8140000000000001</v>
      </c>
    </row>
    <row r="664" spans="1:5" x14ac:dyDescent="0.25">
      <c r="A664" t="s">
        <v>134</v>
      </c>
      <c r="B664" s="1" t="str">
        <f>HYPERLINK("http://www.ncbi.nlm.nih.gov/pubmed/?term=Acss2", "Acss2")</f>
        <v>Acss2</v>
      </c>
      <c r="C664" s="3">
        <v>2.0920000000000001</v>
      </c>
      <c r="D664" s="3">
        <v>2.2069999999999999</v>
      </c>
      <c r="E664" s="20">
        <v>4.4569999999999999</v>
      </c>
    </row>
    <row r="665" spans="1:5" x14ac:dyDescent="0.25">
      <c r="A665" t="s">
        <v>117</v>
      </c>
      <c r="B665" s="1" t="str">
        <f>HYPERLINK("http://www.ncbi.nlm.nih.gov/pubmed/?term=Ly6i", "Ly6i")</f>
        <v>Ly6i</v>
      </c>
      <c r="C665" s="12">
        <v>-3.1080000000000001</v>
      </c>
      <c r="D665" s="11">
        <v>1.089</v>
      </c>
      <c r="E665" s="20">
        <v>4.1950000000000003</v>
      </c>
    </row>
    <row r="666" spans="1:5" x14ac:dyDescent="0.25">
      <c r="A666" t="s">
        <v>356</v>
      </c>
      <c r="B666" s="1" t="str">
        <f>HYPERLINK("http://www.ncbi.nlm.nih.gov/pubmed/?term=Ptges", "Ptges")</f>
        <v>Ptges</v>
      </c>
      <c r="C666" s="12">
        <v>-0.60289999999999999</v>
      </c>
      <c r="D666" s="22">
        <v>3.6760000000000002</v>
      </c>
      <c r="E666" s="20">
        <v>4.7930000000000001</v>
      </c>
    </row>
    <row r="667" spans="1:5" x14ac:dyDescent="0.25">
      <c r="A667" t="s">
        <v>510</v>
      </c>
      <c r="B667" s="1" t="str">
        <f>HYPERLINK("http://www.ncbi.nlm.nih.gov/pubmed/?term=Itpripl2", "Itpripl2")</f>
        <v>Itpripl2</v>
      </c>
      <c r="C667" s="3">
        <v>2.5659999999999998</v>
      </c>
      <c r="D667" s="22">
        <v>3.4169999999999998</v>
      </c>
      <c r="E667" s="20">
        <v>4.7220000000000004</v>
      </c>
    </row>
    <row r="668" spans="1:5" x14ac:dyDescent="0.25">
      <c r="A668" t="s">
        <v>453</v>
      </c>
      <c r="B668" s="1" t="str">
        <f>HYPERLINK("http://www.ncbi.nlm.nih.gov/pubmed/?term=Wnk2", "Wnk2")</f>
        <v>Wnk2</v>
      </c>
      <c r="C668" s="11">
        <v>1.464</v>
      </c>
      <c r="D668" s="22">
        <v>3.6720000000000002</v>
      </c>
      <c r="E668" s="20">
        <v>4.7729999999999997</v>
      </c>
    </row>
    <row r="669" spans="1:5" x14ac:dyDescent="0.25">
      <c r="A669" t="s">
        <v>1625</v>
      </c>
      <c r="B669" s="1" t="str">
        <f>HYPERLINK("http://www.ncbi.nlm.nih.gov/pubmed/?term=Mttp", "Mttp")</f>
        <v>Mttp</v>
      </c>
      <c r="C669" s="12">
        <v>-0.18410000000000001</v>
      </c>
      <c r="D669" s="11">
        <v>1.1639999999999999</v>
      </c>
      <c r="E669" s="20">
        <v>4.1890000000000001</v>
      </c>
    </row>
    <row r="670" spans="1:5" x14ac:dyDescent="0.25">
      <c r="A670" t="s">
        <v>628</v>
      </c>
      <c r="B670" s="1" t="str">
        <f>HYPERLINK("http://www.ncbi.nlm.nih.gov/pubmed/?term=Rgs20", "Rgs20")</f>
        <v>Rgs20</v>
      </c>
      <c r="C670" s="12">
        <v>-2.089</v>
      </c>
      <c r="D670" s="11">
        <v>1.53</v>
      </c>
      <c r="E670" s="20">
        <v>4.2729999999999997</v>
      </c>
    </row>
    <row r="671" spans="1:5" x14ac:dyDescent="0.25">
      <c r="A671" t="s">
        <v>770</v>
      </c>
      <c r="B671" s="1" t="str">
        <f>HYPERLINK("http://www.ncbi.nlm.nih.gov/pubmed/?term=Fam83g", "Fam83g")</f>
        <v>Fam83g</v>
      </c>
      <c r="C671" s="3">
        <v>2.3359999999999999</v>
      </c>
      <c r="D671" s="22">
        <v>3.4980000000000002</v>
      </c>
      <c r="E671" s="20">
        <v>4.7279999999999998</v>
      </c>
    </row>
    <row r="672" spans="1:5" x14ac:dyDescent="0.25">
      <c r="A672" t="s">
        <v>1464</v>
      </c>
      <c r="B672" s="1" t="str">
        <f>HYPERLINK("http://www.ncbi.nlm.nih.gov/pubmed/?term=Myot", "Myot")</f>
        <v>Myot</v>
      </c>
      <c r="C672" s="12">
        <v>-7.468</v>
      </c>
      <c r="D672" s="12">
        <v>-2.0750000000000002</v>
      </c>
      <c r="E672" s="22">
        <v>3.915</v>
      </c>
    </row>
    <row r="673" spans="1:5" x14ac:dyDescent="0.25">
      <c r="A673" t="s">
        <v>1230</v>
      </c>
      <c r="B673" s="1" t="str">
        <f>HYPERLINK("http://www.ncbi.nlm.nih.gov/pubmed/?term=Scin", "Scin")</f>
        <v>Scin</v>
      </c>
      <c r="C673" s="3">
        <v>2.5670000000000002</v>
      </c>
      <c r="D673" s="22">
        <v>3.6139999999999999</v>
      </c>
      <c r="E673" s="20">
        <v>4.75</v>
      </c>
    </row>
    <row r="674" spans="1:5" x14ac:dyDescent="0.25">
      <c r="A674" t="s">
        <v>947</v>
      </c>
      <c r="B674" s="1" t="str">
        <f>HYPERLINK("http://www.ncbi.nlm.nih.gov/pubmed/?term=Parp4", "Parp4")</f>
        <v>Parp4</v>
      </c>
      <c r="C674" s="22">
        <v>3.137</v>
      </c>
      <c r="D674" s="22">
        <v>3.6890000000000001</v>
      </c>
      <c r="E674" s="20">
        <v>4.7619999999999996</v>
      </c>
    </row>
    <row r="675" spans="1:5" x14ac:dyDescent="0.25">
      <c r="A675" t="s">
        <v>2007</v>
      </c>
      <c r="B675" s="1" t="str">
        <f>HYPERLINK("http://www.ncbi.nlm.nih.gov/pubmed/?term=Dhdh", "Dhdh")</f>
        <v>Dhdh</v>
      </c>
      <c r="C675" s="11">
        <v>1.6830000000000001</v>
      </c>
      <c r="D675" s="3">
        <v>2.1030000000000002</v>
      </c>
      <c r="E675" s="20">
        <v>4.3940000000000001</v>
      </c>
    </row>
    <row r="676" spans="1:5" x14ac:dyDescent="0.25">
      <c r="A676" t="s">
        <v>1920</v>
      </c>
      <c r="B676" s="1" t="str">
        <f>HYPERLINK("http://www.ncbi.nlm.nih.gov/pubmed/?term=Itsn2", "Itsn2")</f>
        <v>Itsn2</v>
      </c>
      <c r="C676" s="22">
        <v>3.6269999999999998</v>
      </c>
      <c r="D676" s="22">
        <v>3.5449999999999999</v>
      </c>
      <c r="E676" s="20">
        <v>4.7430000000000003</v>
      </c>
    </row>
    <row r="677" spans="1:5" x14ac:dyDescent="0.25">
      <c r="A677" t="s">
        <v>875</v>
      </c>
      <c r="B677" s="1" t="str">
        <f>HYPERLINK("http://www.ncbi.nlm.nih.gov/pubmed/?term=Nfkbid", "Nfkbid")</f>
        <v>Nfkbid</v>
      </c>
      <c r="C677" s="11">
        <v>1.9670000000000001</v>
      </c>
      <c r="D677" s="3">
        <v>2.1110000000000002</v>
      </c>
      <c r="E677" s="20">
        <v>4.3899999999999997</v>
      </c>
    </row>
    <row r="678" spans="1:5" x14ac:dyDescent="0.25">
      <c r="A678" t="s">
        <v>975</v>
      </c>
      <c r="B678" s="1" t="str">
        <f>HYPERLINK("http://www.ncbi.nlm.nih.gov/pubmed/?term=Tet2", "Tet2")</f>
        <v>Tet2</v>
      </c>
      <c r="C678" s="3">
        <v>2.7440000000000002</v>
      </c>
      <c r="D678" s="3">
        <v>2.3159999999999998</v>
      </c>
      <c r="E678" s="20">
        <v>4.5359999999999996</v>
      </c>
    </row>
    <row r="679" spans="1:5" x14ac:dyDescent="0.25">
      <c r="A679" t="s">
        <v>259</v>
      </c>
      <c r="B679" s="1" t="str">
        <f>HYPERLINK("http://www.ncbi.nlm.nih.gov/pubmed/?term=Ubxn11", "Ubxn11")</f>
        <v>Ubxn11</v>
      </c>
      <c r="C679" s="12">
        <v>7.2749999999999995E-2</v>
      </c>
      <c r="D679" s="11">
        <v>1.8080000000000001</v>
      </c>
      <c r="E679" s="20">
        <v>4.3170000000000002</v>
      </c>
    </row>
    <row r="680" spans="1:5" x14ac:dyDescent="0.25">
      <c r="A680" t="s">
        <v>1501</v>
      </c>
      <c r="B680" s="1" t="str">
        <f>HYPERLINK("http://www.ncbi.nlm.nih.gov/pubmed/?term=3110043O21Rik", "3110043O21Rik")</f>
        <v>3110043O21Rik</v>
      </c>
      <c r="C680" s="3">
        <v>2.8690000000000002</v>
      </c>
      <c r="D680" s="22">
        <v>3.5350000000000001</v>
      </c>
      <c r="E680" s="20">
        <v>4.71</v>
      </c>
    </row>
    <row r="681" spans="1:5" x14ac:dyDescent="0.25">
      <c r="A681" t="s">
        <v>1253</v>
      </c>
      <c r="B681" s="1" t="str">
        <f>HYPERLINK("http://www.ncbi.nlm.nih.gov/pubmed/?term=Ucma", "Ucma")</f>
        <v>Ucma</v>
      </c>
      <c r="C681" s="12">
        <v>-1.3640000000000001</v>
      </c>
      <c r="D681" s="11">
        <v>1.879</v>
      </c>
      <c r="E681" s="20">
        <v>4.3259999999999996</v>
      </c>
    </row>
    <row r="682" spans="1:5" x14ac:dyDescent="0.25">
      <c r="A682" t="s">
        <v>894</v>
      </c>
      <c r="B682" s="1" t="str">
        <f>HYPERLINK("http://www.ncbi.nlm.nih.gov/pubmed/?term=Abcc8", "Abcc8")</f>
        <v>Abcc8</v>
      </c>
      <c r="C682" s="12">
        <v>-2.2320000000000002</v>
      </c>
      <c r="D682" s="11">
        <v>1.7230000000000001</v>
      </c>
      <c r="E682" s="20">
        <v>4.2869999999999999</v>
      </c>
    </row>
    <row r="683" spans="1:5" x14ac:dyDescent="0.25">
      <c r="A683" t="s">
        <v>18</v>
      </c>
      <c r="B683" s="1" t="str">
        <f>HYPERLINK("http://www.ncbi.nlm.nih.gov/pubmed/?term=2510049J12Rik", "2510049J12Rik")</f>
        <v>2510049J12Rik</v>
      </c>
      <c r="C683" s="12">
        <v>-3.7909999999999999</v>
      </c>
      <c r="D683" s="3">
        <v>2.9359999999999999</v>
      </c>
      <c r="E683" s="20">
        <v>4.5620000000000003</v>
      </c>
    </row>
    <row r="684" spans="1:5" x14ac:dyDescent="0.25">
      <c r="A684" t="s">
        <v>1842</v>
      </c>
      <c r="B684" s="1" t="str">
        <f>HYPERLINK("http://www.ncbi.nlm.nih.gov/pubmed/?term=Rcsd1", "Rcsd1")</f>
        <v>Rcsd1</v>
      </c>
      <c r="C684" s="22">
        <v>3.3580000000000001</v>
      </c>
      <c r="D684" s="11">
        <v>1.8440000000000001</v>
      </c>
      <c r="E684" s="20">
        <v>4.66</v>
      </c>
    </row>
    <row r="685" spans="1:5" x14ac:dyDescent="0.25">
      <c r="A685" t="s">
        <v>1052</v>
      </c>
      <c r="B685" s="1" t="str">
        <f>HYPERLINK("http://www.ncbi.nlm.nih.gov/pubmed/?term=Gsdma3", "Gsdma3")</f>
        <v>Gsdma3</v>
      </c>
      <c r="C685" s="12">
        <v>-0.85219999999999996</v>
      </c>
      <c r="D685" s="12">
        <v>-0.26910000000000001</v>
      </c>
      <c r="E685" s="22">
        <v>3.8820000000000001</v>
      </c>
    </row>
    <row r="686" spans="1:5" x14ac:dyDescent="0.25">
      <c r="A686" t="s">
        <v>1094</v>
      </c>
      <c r="B686" s="1" t="str">
        <f>HYPERLINK("http://www.ncbi.nlm.nih.gov/pubmed/?term=Naip2", "Naip2")</f>
        <v>Naip2</v>
      </c>
      <c r="C686" s="12">
        <v>-2.835</v>
      </c>
      <c r="D686" s="11">
        <v>1.044</v>
      </c>
      <c r="E686" s="20">
        <v>4.12</v>
      </c>
    </row>
    <row r="687" spans="1:5" x14ac:dyDescent="0.25">
      <c r="A687" t="s">
        <v>1507</v>
      </c>
      <c r="B687" s="1" t="str">
        <f>HYPERLINK("http://www.ncbi.nlm.nih.gov/pubmed/?term=Ggta1", "Ggta1")</f>
        <v>Ggta1</v>
      </c>
      <c r="C687" s="22">
        <v>3.3420000000000001</v>
      </c>
      <c r="D687" s="3">
        <v>2.9910000000000001</v>
      </c>
      <c r="E687" s="20">
        <v>4.6509999999999998</v>
      </c>
    </row>
    <row r="688" spans="1:5" x14ac:dyDescent="0.25">
      <c r="A688" t="s">
        <v>178</v>
      </c>
      <c r="B688" s="1" t="str">
        <f>HYPERLINK("http://www.ncbi.nlm.nih.gov/pubmed/?term=Cd86", "Cd86")</f>
        <v>Cd86</v>
      </c>
      <c r="C688" s="12">
        <v>-2.2599999999999998</v>
      </c>
      <c r="D688" s="12">
        <v>-1.3340000000000001</v>
      </c>
      <c r="E688" s="22">
        <v>3.8769999999999998</v>
      </c>
    </row>
    <row r="689" spans="1:5" x14ac:dyDescent="0.25">
      <c r="A689" t="s">
        <v>1479</v>
      </c>
      <c r="B689" s="1" t="str">
        <f>HYPERLINK("http://www.ncbi.nlm.nih.gov/pubmed/?term=Nostrin", "Nostrin")</f>
        <v>Nostrin</v>
      </c>
      <c r="C689" s="12">
        <v>-1.929</v>
      </c>
      <c r="D689" s="3">
        <v>2.544</v>
      </c>
      <c r="E689" s="20">
        <v>4.4649999999999999</v>
      </c>
    </row>
    <row r="690" spans="1:5" x14ac:dyDescent="0.25">
      <c r="A690" t="s">
        <v>1618</v>
      </c>
      <c r="B690" s="1" t="str">
        <f>HYPERLINK("http://www.ncbi.nlm.nih.gov/pubmed/?term=Prap1", "Prap1")</f>
        <v>Prap1</v>
      </c>
      <c r="C690" s="12">
        <v>-1.8360000000000001</v>
      </c>
      <c r="D690" s="3">
        <v>2.3540000000000001</v>
      </c>
      <c r="E690" s="20">
        <v>4.4210000000000003</v>
      </c>
    </row>
    <row r="691" spans="1:5" x14ac:dyDescent="0.25">
      <c r="A691" t="s">
        <v>1032</v>
      </c>
      <c r="B691" s="1" t="str">
        <f>HYPERLINK("http://www.ncbi.nlm.nih.gov/pubmed/?term=Gm711", "Gm711")</f>
        <v>Gm711</v>
      </c>
      <c r="C691" s="12">
        <v>-2.9940000000000002</v>
      </c>
      <c r="D691" s="12">
        <v>-1.139</v>
      </c>
      <c r="E691" s="22">
        <v>3.8759999999999999</v>
      </c>
    </row>
    <row r="692" spans="1:5" x14ac:dyDescent="0.25">
      <c r="A692" t="s">
        <v>105</v>
      </c>
      <c r="B692" s="1" t="str">
        <f>HYPERLINK("http://www.ncbi.nlm.nih.gov/pubmed/?term=Slc6a20a", "Slc6a20a")</f>
        <v>Slc6a20a</v>
      </c>
      <c r="C692" s="12">
        <v>-2.976</v>
      </c>
      <c r="D692" s="11">
        <v>1.833</v>
      </c>
      <c r="E692" s="20">
        <v>4.2990000000000004</v>
      </c>
    </row>
    <row r="693" spans="1:5" x14ac:dyDescent="0.25">
      <c r="A693" t="s">
        <v>1269</v>
      </c>
      <c r="B693" s="1" t="str">
        <f>HYPERLINK("http://www.ncbi.nlm.nih.gov/pubmed/?term=Dsg1b", "Dsg1b")</f>
        <v>Dsg1b</v>
      </c>
      <c r="C693" s="12">
        <v>-3.714</v>
      </c>
      <c r="D693" s="11">
        <v>1.843</v>
      </c>
      <c r="E693" s="20">
        <v>4.2990000000000004</v>
      </c>
    </row>
    <row r="694" spans="1:5" x14ac:dyDescent="0.25">
      <c r="A694" t="s">
        <v>1922</v>
      </c>
      <c r="B694" s="1" t="str">
        <f>HYPERLINK("http://www.ncbi.nlm.nih.gov/pubmed/?term=C130026I21Rik", "C130026I21Rik")</f>
        <v>C130026I21Rik</v>
      </c>
      <c r="C694" s="12">
        <v>4.99E-2</v>
      </c>
      <c r="D694" s="11">
        <v>1.839</v>
      </c>
      <c r="E694" s="20">
        <v>4.2949999999999999</v>
      </c>
    </row>
    <row r="695" spans="1:5" x14ac:dyDescent="0.25">
      <c r="A695" t="s">
        <v>2015</v>
      </c>
      <c r="B695" s="1" t="str">
        <f>HYPERLINK("http://www.ncbi.nlm.nih.gov/pubmed/?term=Zmynd15", "Zmynd15")</f>
        <v>Zmynd15</v>
      </c>
      <c r="C695" s="11">
        <v>1.871</v>
      </c>
      <c r="D695" s="22">
        <v>3.327</v>
      </c>
      <c r="E695" s="20">
        <v>4.6379999999999999</v>
      </c>
    </row>
    <row r="696" spans="1:5" x14ac:dyDescent="0.25">
      <c r="A696" t="s">
        <v>1299</v>
      </c>
      <c r="B696" s="1" t="str">
        <f>HYPERLINK("http://www.ncbi.nlm.nih.gov/pubmed/?term=Rasef", "Rasef")</f>
        <v>Rasef</v>
      </c>
      <c r="C696" s="22">
        <v>3.3809999999999998</v>
      </c>
      <c r="D696" s="22">
        <v>3.4249999999999998</v>
      </c>
      <c r="E696" s="20">
        <v>4.6589999999999998</v>
      </c>
    </row>
    <row r="697" spans="1:5" x14ac:dyDescent="0.25">
      <c r="A697" t="s">
        <v>1</v>
      </c>
      <c r="B697" s="1" t="str">
        <f>HYPERLINK("http://www.ncbi.nlm.nih.gov/pubmed/?term=Bdh1", "Bdh1")</f>
        <v>Bdh1</v>
      </c>
      <c r="C697" s="11">
        <v>1.0109999999999999</v>
      </c>
      <c r="D697" s="3">
        <v>2.786</v>
      </c>
      <c r="E697" s="20">
        <v>4.5039999999999996</v>
      </c>
    </row>
    <row r="698" spans="1:5" x14ac:dyDescent="0.25">
      <c r="A698" t="s">
        <v>763</v>
      </c>
      <c r="B698" s="1" t="str">
        <f>HYPERLINK("http://www.ncbi.nlm.nih.gov/pubmed/?term=Mfsd7b", "Mfsd7b")</f>
        <v>Mfsd7b</v>
      </c>
      <c r="C698" s="3">
        <v>2.387</v>
      </c>
      <c r="D698" s="3">
        <v>2.903</v>
      </c>
      <c r="E698" s="20">
        <v>4.5270000000000001</v>
      </c>
    </row>
    <row r="699" spans="1:5" x14ac:dyDescent="0.25">
      <c r="A699" t="s">
        <v>1933</v>
      </c>
      <c r="B699" s="1" t="str">
        <f>HYPERLINK("http://www.ncbi.nlm.nih.gov/pubmed/?term=Pdcd1lg2", "Pdcd1lg2")</f>
        <v>Pdcd1lg2</v>
      </c>
      <c r="C699" s="12">
        <v>0.33090000000000003</v>
      </c>
      <c r="D699" s="22">
        <v>3.4620000000000002</v>
      </c>
      <c r="E699" s="20">
        <v>4.6449999999999996</v>
      </c>
    </row>
    <row r="700" spans="1:5" x14ac:dyDescent="0.25">
      <c r="A700" t="s">
        <v>669</v>
      </c>
      <c r="B700" s="1" t="str">
        <f>HYPERLINK("http://www.ncbi.nlm.nih.gov/pubmed/?term=Tspan33", "Tspan33")</f>
        <v>Tspan33</v>
      </c>
      <c r="C700" s="12">
        <v>-2.5289999999999999</v>
      </c>
      <c r="D700" s="12">
        <v>-0.26390000000000002</v>
      </c>
      <c r="E700" s="22">
        <v>3.843</v>
      </c>
    </row>
    <row r="701" spans="1:5" x14ac:dyDescent="0.25">
      <c r="A701" t="s">
        <v>1291</v>
      </c>
      <c r="B701" s="1" t="str">
        <f>HYPERLINK("http://www.ncbi.nlm.nih.gov/pubmed/?term=S100a8", "S100a8")</f>
        <v>S100a8</v>
      </c>
      <c r="C701" s="12">
        <v>0.42170000000000002</v>
      </c>
      <c r="D701" s="3">
        <v>2.9510000000000001</v>
      </c>
      <c r="E701" s="20">
        <v>4.524</v>
      </c>
    </row>
    <row r="702" spans="1:5" x14ac:dyDescent="0.25">
      <c r="A702" t="s">
        <v>1613</v>
      </c>
      <c r="B702" s="1" t="str">
        <f>HYPERLINK("http://www.ncbi.nlm.nih.gov/pubmed/?term=Ftsj2", "Ftsj2")</f>
        <v>Ftsj2</v>
      </c>
      <c r="C702" s="11">
        <v>1.974</v>
      </c>
      <c r="D702" s="11">
        <v>1.7849999999999999</v>
      </c>
      <c r="E702" s="20">
        <v>4.2969999999999997</v>
      </c>
    </row>
    <row r="703" spans="1:5" x14ac:dyDescent="0.25">
      <c r="A703" t="s">
        <v>648</v>
      </c>
      <c r="B703" s="1" t="str">
        <f>HYPERLINK("http://www.ncbi.nlm.nih.gov/pubmed/?term=Plin2", "Plin2")</f>
        <v>Plin2</v>
      </c>
      <c r="C703" s="22">
        <v>3.32</v>
      </c>
      <c r="D703" s="22">
        <v>3.444</v>
      </c>
      <c r="E703" s="20">
        <v>4.6349999999999998</v>
      </c>
    </row>
    <row r="704" spans="1:5" x14ac:dyDescent="0.25">
      <c r="A704" t="s">
        <v>1977</v>
      </c>
      <c r="B704" s="1" t="str">
        <f>HYPERLINK("http://www.ncbi.nlm.nih.gov/pubmed/?term=Arnt2", "Arnt2")</f>
        <v>Arnt2</v>
      </c>
      <c r="C704" s="11">
        <v>1.4119999999999999</v>
      </c>
      <c r="D704" s="22">
        <v>3.6469999999999998</v>
      </c>
      <c r="E704" s="20">
        <v>4.6820000000000004</v>
      </c>
    </row>
    <row r="705" spans="1:5" x14ac:dyDescent="0.25">
      <c r="A705" t="s">
        <v>72</v>
      </c>
      <c r="B705" s="1" t="str">
        <f>HYPERLINK("http://www.ncbi.nlm.nih.gov/pubmed/?term=Klhl5", "Klhl5")</f>
        <v>Klhl5</v>
      </c>
      <c r="C705" s="22">
        <v>3.1219999999999999</v>
      </c>
      <c r="D705" s="22">
        <v>3.6240000000000001</v>
      </c>
      <c r="E705" s="20">
        <v>4.6760000000000002</v>
      </c>
    </row>
    <row r="706" spans="1:5" x14ac:dyDescent="0.25">
      <c r="A706" t="s">
        <v>467</v>
      </c>
      <c r="B706" s="1" t="str">
        <f>HYPERLINK("http://www.ncbi.nlm.nih.gov/pubmed/?term=Marveld2", "Marveld2")</f>
        <v>Marveld2</v>
      </c>
      <c r="C706" s="12">
        <v>-0.99909999999999999</v>
      </c>
      <c r="D706" s="3">
        <v>2.89</v>
      </c>
      <c r="E706" s="20">
        <v>4.5060000000000002</v>
      </c>
    </row>
    <row r="707" spans="1:5" x14ac:dyDescent="0.25">
      <c r="A707" t="s">
        <v>1212</v>
      </c>
      <c r="B707" s="1" t="str">
        <f>HYPERLINK("http://www.ncbi.nlm.nih.gov/pubmed/?term=Apoc3", "Apoc3")</f>
        <v>Apoc3</v>
      </c>
      <c r="C707" s="12">
        <v>-2.9390000000000001</v>
      </c>
      <c r="D707" s="11">
        <v>1.5409999999999999</v>
      </c>
      <c r="E707" s="20">
        <v>4.1929999999999996</v>
      </c>
    </row>
    <row r="708" spans="1:5" x14ac:dyDescent="0.25">
      <c r="A708" t="s">
        <v>1146</v>
      </c>
      <c r="B708" s="1" t="str">
        <f>HYPERLINK("http://www.ncbi.nlm.nih.gov/pubmed/?term=Tnfrsf4", "Tnfrsf4")</f>
        <v>Tnfrsf4</v>
      </c>
      <c r="C708" s="12">
        <v>-1.8640000000000001</v>
      </c>
      <c r="D708" s="12">
        <v>0.12239999999999999</v>
      </c>
      <c r="E708" s="22">
        <v>3.863</v>
      </c>
    </row>
    <row r="709" spans="1:5" x14ac:dyDescent="0.25">
      <c r="A709" t="s">
        <v>1022</v>
      </c>
      <c r="B709" s="1" t="str">
        <f>HYPERLINK("http://www.ncbi.nlm.nih.gov/pubmed/?term=Cpt2", "Cpt2")</f>
        <v>Cpt2</v>
      </c>
      <c r="C709" s="22">
        <v>3.1619999999999999</v>
      </c>
      <c r="D709" s="22">
        <v>3.169</v>
      </c>
      <c r="E709" s="20">
        <v>4.5679999999999996</v>
      </c>
    </row>
    <row r="710" spans="1:5" x14ac:dyDescent="0.25">
      <c r="A710" t="s">
        <v>104</v>
      </c>
      <c r="B710" s="1" t="str">
        <f>HYPERLINK("http://www.ncbi.nlm.nih.gov/pubmed/?term=Sema7a", "Sema7a")</f>
        <v>Sema7a</v>
      </c>
      <c r="C710" s="12">
        <v>0.3458</v>
      </c>
      <c r="D710" s="3">
        <v>2.1070000000000002</v>
      </c>
      <c r="E710" s="20">
        <v>4.32</v>
      </c>
    </row>
    <row r="711" spans="1:5" x14ac:dyDescent="0.25">
      <c r="A711" t="s">
        <v>1719</v>
      </c>
      <c r="B711" s="1" t="str">
        <f>HYPERLINK("http://www.ncbi.nlm.nih.gov/pubmed/?term=Fmo5", "Fmo5")</f>
        <v>Fmo5</v>
      </c>
      <c r="C711" s="3">
        <v>2.758</v>
      </c>
      <c r="D711" s="3">
        <v>2.2709999999999999</v>
      </c>
      <c r="E711" s="20">
        <v>4.4669999999999996</v>
      </c>
    </row>
    <row r="712" spans="1:5" x14ac:dyDescent="0.25">
      <c r="A712" t="s">
        <v>2057</v>
      </c>
      <c r="B712" s="1" t="str">
        <f>HYPERLINK("http://www.ncbi.nlm.nih.gov/pubmed/?term=Col17a1", "Col17a1")</f>
        <v>Col17a1</v>
      </c>
      <c r="C712" s="12">
        <v>0.19420000000000001</v>
      </c>
      <c r="D712" s="22">
        <v>3.1309999999999998</v>
      </c>
      <c r="E712" s="20">
        <v>4.5529999999999999</v>
      </c>
    </row>
    <row r="713" spans="1:5" x14ac:dyDescent="0.25">
      <c r="A713" t="s">
        <v>473</v>
      </c>
      <c r="B713" s="1" t="str">
        <f>HYPERLINK("http://www.ncbi.nlm.nih.gov/pubmed/?term=Cbfa2t3", "Cbfa2t3")</f>
        <v>Cbfa2t3</v>
      </c>
      <c r="C713" s="11">
        <v>1.774</v>
      </c>
      <c r="D713" s="22">
        <v>3.5</v>
      </c>
      <c r="E713" s="20">
        <v>4.6360000000000001</v>
      </c>
    </row>
    <row r="714" spans="1:5" x14ac:dyDescent="0.25">
      <c r="A714" t="s">
        <v>400</v>
      </c>
      <c r="B714" s="1" t="str">
        <f>HYPERLINK("http://www.ncbi.nlm.nih.gov/pubmed/?term=Ccdc144b", "Ccdc144b")</f>
        <v>Ccdc144b</v>
      </c>
      <c r="C714" s="12">
        <v>-0.3851</v>
      </c>
      <c r="D714" s="12">
        <v>-3.4130000000000001E-2</v>
      </c>
      <c r="E714" s="22">
        <v>3.82</v>
      </c>
    </row>
    <row r="715" spans="1:5" x14ac:dyDescent="0.25">
      <c r="A715" t="s">
        <v>754</v>
      </c>
      <c r="B715" s="1" t="str">
        <f>HYPERLINK("http://www.ncbi.nlm.nih.gov/pubmed/?term=Rilpl2", "Rilpl2")</f>
        <v>Rilpl2</v>
      </c>
      <c r="C715" s="22">
        <v>3.327</v>
      </c>
      <c r="D715" s="22">
        <v>3.3170000000000002</v>
      </c>
      <c r="E715" s="20">
        <v>4.5839999999999996</v>
      </c>
    </row>
    <row r="716" spans="1:5" x14ac:dyDescent="0.25">
      <c r="A716" t="s">
        <v>273</v>
      </c>
      <c r="B716" s="1" t="str">
        <f>HYPERLINK("http://www.ncbi.nlm.nih.gov/pubmed/?term=Atp8b4", "Atp8b4")</f>
        <v>Atp8b4</v>
      </c>
      <c r="C716" s="12">
        <v>-2.5739999999999998</v>
      </c>
      <c r="D716" s="12">
        <v>0.55720000000000003</v>
      </c>
      <c r="E716" s="22">
        <v>3.94</v>
      </c>
    </row>
    <row r="717" spans="1:5" x14ac:dyDescent="0.25">
      <c r="A717" t="s">
        <v>201</v>
      </c>
      <c r="B717" s="1" t="str">
        <f>HYPERLINK("http://www.ncbi.nlm.nih.gov/pubmed/?term=Map3k8", "Map3k8")</f>
        <v>Map3k8</v>
      </c>
      <c r="C717" s="3">
        <v>2.7770000000000001</v>
      </c>
      <c r="D717" s="3">
        <v>2.3420000000000001</v>
      </c>
      <c r="E717" s="20">
        <v>4.452</v>
      </c>
    </row>
    <row r="718" spans="1:5" x14ac:dyDescent="0.25">
      <c r="A718" t="s">
        <v>205</v>
      </c>
      <c r="B718" s="1" t="str">
        <f>HYPERLINK("http://www.ncbi.nlm.nih.gov/pubmed/?term=Samsn1", "Samsn1")</f>
        <v>Samsn1</v>
      </c>
      <c r="C718" s="12">
        <v>-0.77329999999999999</v>
      </c>
      <c r="D718" s="12">
        <v>-0.26850000000000002</v>
      </c>
      <c r="E718" s="22">
        <v>3.8039999999999998</v>
      </c>
    </row>
    <row r="719" spans="1:5" x14ac:dyDescent="0.25">
      <c r="A719" t="s">
        <v>845</v>
      </c>
      <c r="B719" s="1" t="str">
        <f>HYPERLINK("http://www.ncbi.nlm.nih.gov/pubmed/?term=Wbscr27", "Wbscr27")</f>
        <v>Wbscr27</v>
      </c>
      <c r="C719" s="11">
        <v>1.1970000000000001</v>
      </c>
      <c r="D719" s="22">
        <v>3.2130000000000001</v>
      </c>
      <c r="E719" s="20">
        <v>4.5389999999999997</v>
      </c>
    </row>
    <row r="720" spans="1:5" x14ac:dyDescent="0.25">
      <c r="A720" t="s">
        <v>1897</v>
      </c>
      <c r="B720" s="1" t="str">
        <f>HYPERLINK("http://www.ncbi.nlm.nih.gov/pubmed/?term=Ptdss2", "Ptdss2")</f>
        <v>Ptdss2</v>
      </c>
      <c r="C720" s="3">
        <v>2.8660000000000001</v>
      </c>
      <c r="D720" s="22">
        <v>3.048</v>
      </c>
      <c r="E720" s="20">
        <v>4.5</v>
      </c>
    </row>
    <row r="721" spans="1:5" x14ac:dyDescent="0.25">
      <c r="A721" t="s">
        <v>1561</v>
      </c>
      <c r="B721" s="1" t="str">
        <f>HYPERLINK("http://www.ncbi.nlm.nih.gov/pubmed/?term=Mfsd4", "Mfsd4")</f>
        <v>Mfsd4</v>
      </c>
      <c r="C721" s="22">
        <v>3.5209999999999999</v>
      </c>
      <c r="D721" s="3">
        <v>2.9769999999999999</v>
      </c>
      <c r="E721" s="20">
        <v>4.6079999999999997</v>
      </c>
    </row>
    <row r="722" spans="1:5" x14ac:dyDescent="0.25">
      <c r="A722" t="s">
        <v>537</v>
      </c>
      <c r="B722" s="1" t="str">
        <f>HYPERLINK("http://www.ncbi.nlm.nih.gov/pubmed/?term=Apba1", "Apba1")</f>
        <v>Apba1</v>
      </c>
      <c r="C722" s="3">
        <v>2.0529999999999999</v>
      </c>
      <c r="D722" s="11">
        <v>1.1839999999999999</v>
      </c>
      <c r="E722" s="20">
        <v>4.2590000000000003</v>
      </c>
    </row>
    <row r="723" spans="1:5" x14ac:dyDescent="0.25">
      <c r="A723" t="s">
        <v>348</v>
      </c>
      <c r="B723" s="1" t="str">
        <f>HYPERLINK("http://www.ncbi.nlm.nih.gov/pubmed/?term=Ces5a", "Ces5a")</f>
        <v>Ces5a</v>
      </c>
      <c r="C723" s="12">
        <v>-2.4329999999999998</v>
      </c>
      <c r="D723" s="12">
        <v>0.39579999999999999</v>
      </c>
      <c r="E723" s="22">
        <v>3.8759999999999999</v>
      </c>
    </row>
    <row r="724" spans="1:5" x14ac:dyDescent="0.25">
      <c r="A724" t="s">
        <v>1502</v>
      </c>
      <c r="B724" s="1" t="str">
        <f>HYPERLINK("http://www.ncbi.nlm.nih.gov/pubmed/?term=Syk", "Syk")</f>
        <v>Syk</v>
      </c>
      <c r="C724" s="12">
        <v>0.73909999999999998</v>
      </c>
      <c r="D724" s="22">
        <v>3.1890000000000001</v>
      </c>
      <c r="E724" s="20">
        <v>4.5190000000000001</v>
      </c>
    </row>
    <row r="725" spans="1:5" x14ac:dyDescent="0.25">
      <c r="A725" t="s">
        <v>182</v>
      </c>
      <c r="B725" s="1" t="str">
        <f>HYPERLINK("http://www.ncbi.nlm.nih.gov/pubmed/?term=Fzd1", "Fzd1")</f>
        <v>Fzd1</v>
      </c>
      <c r="C725" s="11">
        <v>1.5860000000000001</v>
      </c>
      <c r="D725" s="3">
        <v>2.2469999999999999</v>
      </c>
      <c r="E725" s="20">
        <v>4.2910000000000004</v>
      </c>
    </row>
    <row r="726" spans="1:5" x14ac:dyDescent="0.25">
      <c r="A726" t="s">
        <v>1330</v>
      </c>
      <c r="B726" s="1" t="str">
        <f>HYPERLINK("http://www.ncbi.nlm.nih.gov/pubmed/?term=Maoa", "Maoa")</f>
        <v>Maoa</v>
      </c>
      <c r="C726" s="11">
        <v>1.913</v>
      </c>
      <c r="D726" s="11">
        <v>1.528</v>
      </c>
      <c r="E726" s="20">
        <v>4.2119999999999997</v>
      </c>
    </row>
    <row r="727" spans="1:5" x14ac:dyDescent="0.25">
      <c r="A727" t="s">
        <v>1794</v>
      </c>
      <c r="B727" s="1" t="str">
        <f>HYPERLINK("http://www.ncbi.nlm.nih.gov/pubmed/?term=I830077J02Rik", "I830077J02Rik")</f>
        <v>I830077J02Rik</v>
      </c>
      <c r="C727" s="12">
        <v>-4.3150000000000004</v>
      </c>
      <c r="D727" s="12">
        <v>-3.4929999999999999</v>
      </c>
      <c r="E727" s="22">
        <v>3.7559999999999998</v>
      </c>
    </row>
    <row r="728" spans="1:5" x14ac:dyDescent="0.25">
      <c r="A728" t="s">
        <v>59</v>
      </c>
      <c r="B728" s="1" t="str">
        <f>HYPERLINK("http://www.ncbi.nlm.nih.gov/pubmed/?term=1300017J02Rik", "1300017J02Rik")</f>
        <v>1300017J02Rik</v>
      </c>
      <c r="C728" s="12">
        <v>-1.264</v>
      </c>
      <c r="D728" s="12">
        <v>0.82399999999999995</v>
      </c>
      <c r="E728" s="22">
        <v>3.9449999999999998</v>
      </c>
    </row>
    <row r="729" spans="1:5" x14ac:dyDescent="0.25">
      <c r="A729" t="s">
        <v>2010</v>
      </c>
      <c r="B729" s="1" t="str">
        <f>HYPERLINK("http://www.ncbi.nlm.nih.gov/pubmed/?term=Rassf8", "Rassf8")</f>
        <v>Rassf8</v>
      </c>
      <c r="C729" s="22">
        <v>3.1970000000000001</v>
      </c>
      <c r="D729" s="3">
        <v>2.7549999999999999</v>
      </c>
      <c r="E729" s="20">
        <v>4.4930000000000003</v>
      </c>
    </row>
    <row r="730" spans="1:5" x14ac:dyDescent="0.25">
      <c r="A730" t="s">
        <v>1390</v>
      </c>
      <c r="B730" s="1" t="str">
        <f>HYPERLINK("http://www.ncbi.nlm.nih.gov/pubmed/?term=2210404O07Rik", "2210404O07Rik")</f>
        <v>2210404O07Rik</v>
      </c>
      <c r="C730" s="12">
        <v>0.2467</v>
      </c>
      <c r="D730" s="22">
        <v>3.5059999999999998</v>
      </c>
      <c r="E730" s="20">
        <v>4.5640000000000001</v>
      </c>
    </row>
    <row r="731" spans="1:5" x14ac:dyDescent="0.25">
      <c r="A731" t="s">
        <v>1520</v>
      </c>
      <c r="B731" s="1" t="str">
        <f>HYPERLINK("http://www.ncbi.nlm.nih.gov/pubmed/?term=Gria3", "Gria3")</f>
        <v>Gria3</v>
      </c>
      <c r="C731" s="3">
        <v>2.6360000000000001</v>
      </c>
      <c r="D731" s="11">
        <v>1.611</v>
      </c>
      <c r="E731" s="20">
        <v>4.3449999999999998</v>
      </c>
    </row>
    <row r="732" spans="1:5" x14ac:dyDescent="0.25">
      <c r="A732" t="s">
        <v>1243</v>
      </c>
      <c r="B732" s="1" t="str">
        <f>HYPERLINK("http://www.ncbi.nlm.nih.gov/pubmed/?term=Lrrk2", "Lrrk2")</f>
        <v>Lrrk2</v>
      </c>
      <c r="C732" s="12">
        <v>0.90629999999999999</v>
      </c>
      <c r="D732" s="12">
        <v>-0.20880000000000001</v>
      </c>
      <c r="E732" s="22">
        <v>3.9380000000000002</v>
      </c>
    </row>
    <row r="733" spans="1:5" x14ac:dyDescent="0.25">
      <c r="A733" t="s">
        <v>468</v>
      </c>
      <c r="B733" s="1" t="str">
        <f>HYPERLINK("http://www.ncbi.nlm.nih.gov/pubmed/?term=Ocln", "Ocln")</f>
        <v>Ocln</v>
      </c>
      <c r="C733" s="11">
        <v>1.8109999999999999</v>
      </c>
      <c r="D733" s="3">
        <v>2.8540000000000001</v>
      </c>
      <c r="E733" s="20">
        <v>4.3890000000000002</v>
      </c>
    </row>
    <row r="734" spans="1:5" x14ac:dyDescent="0.25">
      <c r="A734" t="s">
        <v>1046</v>
      </c>
      <c r="B734" s="1" t="str">
        <f>HYPERLINK("http://www.ncbi.nlm.nih.gov/pubmed/?term=AI836003", "AI836003")</f>
        <v>AI836003</v>
      </c>
      <c r="C734" s="12">
        <v>-4.0860000000000003</v>
      </c>
      <c r="D734" s="12">
        <v>-4.9739999999999999E-2</v>
      </c>
      <c r="E734" s="22">
        <v>3.7269999999999999</v>
      </c>
    </row>
    <row r="735" spans="1:5" x14ac:dyDescent="0.25">
      <c r="A735" t="s">
        <v>662</v>
      </c>
      <c r="B735" s="1" t="str">
        <f>HYPERLINK("http://www.ncbi.nlm.nih.gov/pubmed/?term=Btnl4", "Btnl4")</f>
        <v>Btnl4</v>
      </c>
      <c r="C735" s="12">
        <v>-3.1669999999999998</v>
      </c>
      <c r="D735" s="11">
        <v>1.359</v>
      </c>
      <c r="E735" s="20">
        <v>4.0410000000000004</v>
      </c>
    </row>
    <row r="736" spans="1:5" x14ac:dyDescent="0.25">
      <c r="A736" t="s">
        <v>430</v>
      </c>
      <c r="B736" s="1" t="str">
        <f>HYPERLINK("http://www.ncbi.nlm.nih.gov/pubmed/?term=Tfap2b", "Tfap2b")</f>
        <v>Tfap2b</v>
      </c>
      <c r="C736" s="12">
        <v>-3.2309999999999999</v>
      </c>
      <c r="D736" s="12">
        <v>0.53100000000000003</v>
      </c>
      <c r="E736" s="22">
        <v>3.8450000000000002</v>
      </c>
    </row>
    <row r="737" spans="1:5" x14ac:dyDescent="0.25">
      <c r="A737" t="s">
        <v>199</v>
      </c>
      <c r="B737" s="1" t="str">
        <f>HYPERLINK("http://www.ncbi.nlm.nih.gov/pubmed/?term=Klk1b26", "Klk1b26")</f>
        <v>Klk1b26</v>
      </c>
      <c r="C737" s="12">
        <v>-3.2269999999999999</v>
      </c>
      <c r="D737" s="12">
        <v>0.84530000000000005</v>
      </c>
      <c r="E737" s="22">
        <v>3.9169999999999998</v>
      </c>
    </row>
    <row r="738" spans="1:5" x14ac:dyDescent="0.25">
      <c r="A738" t="s">
        <v>572</v>
      </c>
      <c r="B738" s="1" t="str">
        <f>HYPERLINK("http://www.ncbi.nlm.nih.gov/pubmed/?term=Bdkrb1", "Bdkrb1")</f>
        <v>Bdkrb1</v>
      </c>
      <c r="C738" s="12">
        <v>-1.407</v>
      </c>
      <c r="D738" s="11">
        <v>1.4219999999999999</v>
      </c>
      <c r="E738" s="20">
        <v>4.0460000000000003</v>
      </c>
    </row>
    <row r="739" spans="1:5" x14ac:dyDescent="0.25">
      <c r="A739" t="s">
        <v>1451</v>
      </c>
      <c r="B739" s="1" t="str">
        <f>HYPERLINK("http://www.ncbi.nlm.nih.gov/pubmed/?term=Serpina7", "Serpina7")</f>
        <v>Serpina7</v>
      </c>
      <c r="C739" s="12">
        <v>-2.032</v>
      </c>
      <c r="D739" s="3">
        <v>2.5259999999999998</v>
      </c>
      <c r="E739" s="20">
        <v>4.2949999999999999</v>
      </c>
    </row>
    <row r="740" spans="1:5" x14ac:dyDescent="0.25">
      <c r="A740" t="s">
        <v>986</v>
      </c>
      <c r="B740" s="1" t="str">
        <f>HYPERLINK("http://www.ncbi.nlm.nih.gov/pubmed/?term=AI428936", "AI428936")</f>
        <v>AI428936</v>
      </c>
      <c r="C740" s="3">
        <v>2.3940000000000001</v>
      </c>
      <c r="D740" s="22">
        <v>3.5129999999999999</v>
      </c>
      <c r="E740" s="20">
        <v>4.5220000000000002</v>
      </c>
    </row>
    <row r="741" spans="1:5" x14ac:dyDescent="0.25">
      <c r="A741" t="s">
        <v>501</v>
      </c>
      <c r="B741" s="1" t="str">
        <f>HYPERLINK("http://www.ncbi.nlm.nih.gov/pubmed/?term=Lrp1b", "Lrp1b")</f>
        <v>Lrp1b</v>
      </c>
      <c r="C741" s="12">
        <v>-2.4689999999999999</v>
      </c>
      <c r="D741" s="12">
        <v>-6.6199999999999995E-2</v>
      </c>
      <c r="E741" s="22">
        <v>3.7080000000000002</v>
      </c>
    </row>
    <row r="742" spans="1:5" x14ac:dyDescent="0.25">
      <c r="A742" t="s">
        <v>713</v>
      </c>
      <c r="B742" s="1" t="str">
        <f>HYPERLINK("http://www.ncbi.nlm.nih.gov/pubmed/?term=Timd2", "Timd2")</f>
        <v>Timd2</v>
      </c>
      <c r="C742" s="12">
        <v>-3.798</v>
      </c>
      <c r="D742" s="12">
        <v>-1.1180000000000001</v>
      </c>
      <c r="E742" s="22">
        <v>3.7069999999999999</v>
      </c>
    </row>
    <row r="743" spans="1:5" x14ac:dyDescent="0.25">
      <c r="A743" t="s">
        <v>866</v>
      </c>
      <c r="B743" s="1" t="str">
        <f>HYPERLINK("http://www.ncbi.nlm.nih.gov/pubmed/?term=Tph1", "Tph1")</f>
        <v>Tph1</v>
      </c>
      <c r="C743" s="11">
        <v>1.375</v>
      </c>
      <c r="D743" s="12">
        <v>-0.68600000000000005</v>
      </c>
      <c r="E743" s="20">
        <v>4.0199999999999996</v>
      </c>
    </row>
    <row r="744" spans="1:5" x14ac:dyDescent="0.25">
      <c r="A744" t="s">
        <v>1590</v>
      </c>
      <c r="B744" s="1" t="str">
        <f>HYPERLINK("http://www.ncbi.nlm.nih.gov/pubmed/?term=Ap1g2", "Ap1g2")</f>
        <v>Ap1g2</v>
      </c>
      <c r="C744" s="11">
        <v>1.1319999999999999</v>
      </c>
      <c r="D744" s="22">
        <v>3.1</v>
      </c>
      <c r="E744" s="20">
        <v>4.415</v>
      </c>
    </row>
    <row r="745" spans="1:5" x14ac:dyDescent="0.25">
      <c r="A745" t="s">
        <v>1675</v>
      </c>
      <c r="B745" s="1" t="str">
        <f>HYPERLINK("http://www.ncbi.nlm.nih.gov/pubmed/?term=Sh3bp4", "Sh3bp4")</f>
        <v>Sh3bp4</v>
      </c>
      <c r="C745" s="22">
        <v>3.1640000000000001</v>
      </c>
      <c r="D745" s="3">
        <v>2.6850000000000001</v>
      </c>
      <c r="E745" s="20">
        <v>4.4249999999999998</v>
      </c>
    </row>
    <row r="746" spans="1:5" x14ac:dyDescent="0.25">
      <c r="A746" t="s">
        <v>1211</v>
      </c>
      <c r="B746" s="1" t="str">
        <f>HYPERLINK("http://www.ncbi.nlm.nih.gov/pubmed/?term=Il10ra", "Il10ra")</f>
        <v>Il10ra</v>
      </c>
      <c r="C746" s="12">
        <v>-2.2109999999999999</v>
      </c>
      <c r="D746" s="12">
        <v>-0.16819999999999999</v>
      </c>
      <c r="E746" s="22">
        <v>3.6920000000000002</v>
      </c>
    </row>
    <row r="747" spans="1:5" x14ac:dyDescent="0.25">
      <c r="A747" t="s">
        <v>1110</v>
      </c>
      <c r="B747" s="1" t="str">
        <f>HYPERLINK("http://www.ncbi.nlm.nih.gov/pubmed/?term=Ifi205", "Ifi205")</f>
        <v>Ifi205</v>
      </c>
      <c r="C747" s="12">
        <v>-2.4060000000000001</v>
      </c>
      <c r="D747" s="12">
        <v>-0.52710000000000001</v>
      </c>
      <c r="E747" s="22">
        <v>3.6859999999999999</v>
      </c>
    </row>
    <row r="748" spans="1:5" x14ac:dyDescent="0.25">
      <c r="A748" t="s">
        <v>779</v>
      </c>
      <c r="B748" s="1" t="str">
        <f>HYPERLINK("http://www.ncbi.nlm.nih.gov/pubmed/?term=S1pr1", "S1pr1")</f>
        <v>S1pr1</v>
      </c>
      <c r="C748" s="3">
        <v>2.1019999999999999</v>
      </c>
      <c r="D748" s="11">
        <v>1.01</v>
      </c>
      <c r="E748" s="20">
        <v>4.1680000000000001</v>
      </c>
    </row>
    <row r="749" spans="1:5" x14ac:dyDescent="0.25">
      <c r="A749" t="s">
        <v>1730</v>
      </c>
      <c r="B749" s="1" t="str">
        <f>HYPERLINK("http://www.ncbi.nlm.nih.gov/pubmed/?term=Rab7l1", "Rab7l1")</f>
        <v>Rab7l1</v>
      </c>
      <c r="C749" s="12">
        <v>0.86819999999999997</v>
      </c>
      <c r="D749" s="3">
        <v>2.3460000000000001</v>
      </c>
      <c r="E749" s="20">
        <v>4.2240000000000002</v>
      </c>
    </row>
    <row r="750" spans="1:5" x14ac:dyDescent="0.25">
      <c r="A750" t="s">
        <v>1882</v>
      </c>
      <c r="B750" s="1" t="str">
        <f>HYPERLINK("http://www.ncbi.nlm.nih.gov/pubmed/?term=Fgf13", "Fgf13")</f>
        <v>Fgf13</v>
      </c>
      <c r="C750" s="11">
        <v>1.6479999999999999</v>
      </c>
      <c r="D750" s="3">
        <v>2.121</v>
      </c>
      <c r="E750" s="20">
        <v>4.1719999999999997</v>
      </c>
    </row>
    <row r="751" spans="1:5" x14ac:dyDescent="0.25">
      <c r="A751" t="s">
        <v>1386</v>
      </c>
      <c r="B751" s="1" t="str">
        <f>HYPERLINK("http://www.ncbi.nlm.nih.gov/pubmed/?term=Rnf125", "Rnf125")</f>
        <v>Rnf125</v>
      </c>
      <c r="C751" s="11">
        <v>1.427</v>
      </c>
      <c r="D751" s="3">
        <v>2.15</v>
      </c>
      <c r="E751" s="20">
        <v>4.1769999999999996</v>
      </c>
    </row>
    <row r="752" spans="1:5" x14ac:dyDescent="0.25">
      <c r="A752" t="s">
        <v>1093</v>
      </c>
      <c r="B752" s="1" t="str">
        <f>HYPERLINK("http://www.ncbi.nlm.nih.gov/pubmed/?term=Atg4a", "Atg4a")</f>
        <v>Atg4a</v>
      </c>
      <c r="C752" s="3">
        <v>2.254</v>
      </c>
      <c r="D752" s="22">
        <v>3.2120000000000002</v>
      </c>
      <c r="E752" s="20">
        <v>4.4219999999999997</v>
      </c>
    </row>
    <row r="753" spans="1:5" x14ac:dyDescent="0.25">
      <c r="A753" t="s">
        <v>1371</v>
      </c>
      <c r="B753" s="1" t="str">
        <f>HYPERLINK("http://www.ncbi.nlm.nih.gov/pubmed/?term=Arrdc2", "Arrdc2")</f>
        <v>Arrdc2</v>
      </c>
      <c r="C753" s="11">
        <v>1.659</v>
      </c>
      <c r="D753" s="3">
        <v>2.9710000000000001</v>
      </c>
      <c r="E753" s="20">
        <v>4.3659999999999997</v>
      </c>
    </row>
    <row r="754" spans="1:5" x14ac:dyDescent="0.25">
      <c r="A754" t="s">
        <v>848</v>
      </c>
      <c r="B754" s="1" t="str">
        <f>HYPERLINK("http://www.ncbi.nlm.nih.gov/pubmed/?term=Opn3", "Opn3")</f>
        <v>Opn3</v>
      </c>
      <c r="C754" s="12">
        <v>0.53490000000000004</v>
      </c>
      <c r="D754" s="12">
        <v>0.79179999999999995</v>
      </c>
      <c r="E754" s="22">
        <v>3.8540000000000001</v>
      </c>
    </row>
    <row r="755" spans="1:5" x14ac:dyDescent="0.25">
      <c r="A755" t="s">
        <v>734</v>
      </c>
      <c r="B755" s="1" t="str">
        <f>HYPERLINK("http://www.ncbi.nlm.nih.gov/pubmed/?term=Plb1", "Plb1")</f>
        <v>Plb1</v>
      </c>
      <c r="C755" s="12">
        <v>-2.0179999999999998</v>
      </c>
      <c r="D755" s="22">
        <v>3.04</v>
      </c>
      <c r="E755" s="20">
        <v>4.3719999999999999</v>
      </c>
    </row>
    <row r="756" spans="1:5" x14ac:dyDescent="0.25">
      <c r="A756" t="s">
        <v>1064</v>
      </c>
      <c r="B756" s="1" t="str">
        <f>HYPERLINK("http://www.ncbi.nlm.nih.gov/pubmed/?term=Haus5", "Haus5")</f>
        <v>Haus5</v>
      </c>
      <c r="C756" s="3">
        <v>2.5750000000000002</v>
      </c>
      <c r="D756" s="22">
        <v>3.052</v>
      </c>
      <c r="E756" s="20">
        <v>4.3739999999999997</v>
      </c>
    </row>
    <row r="757" spans="1:5" x14ac:dyDescent="0.25">
      <c r="A757" t="s">
        <v>1068</v>
      </c>
      <c r="B757" s="1" t="str">
        <f>HYPERLINK("http://www.ncbi.nlm.nih.gov/pubmed/?term=Ccdc33", "Ccdc33")</f>
        <v>Ccdc33</v>
      </c>
      <c r="C757" s="12">
        <v>-4.2480000000000002</v>
      </c>
      <c r="D757" s="11">
        <v>1.464</v>
      </c>
      <c r="E757" s="22">
        <v>3.9990000000000001</v>
      </c>
    </row>
    <row r="758" spans="1:5" x14ac:dyDescent="0.25">
      <c r="A758" t="s">
        <v>683</v>
      </c>
      <c r="B758" s="1" t="str">
        <f>HYPERLINK("http://www.ncbi.nlm.nih.gov/pubmed/?term=Tac4", "Tac4")</f>
        <v>Tac4</v>
      </c>
      <c r="C758" s="12">
        <v>-3.2349999999999999</v>
      </c>
      <c r="D758" s="12">
        <v>-1.897</v>
      </c>
      <c r="E758" s="22">
        <v>3.66</v>
      </c>
    </row>
    <row r="759" spans="1:5" x14ac:dyDescent="0.25">
      <c r="A759" t="s">
        <v>180</v>
      </c>
      <c r="B759" s="1" t="str">
        <f>HYPERLINK("http://www.ncbi.nlm.nih.gov/pubmed/?term=Clec16a", "Clec16a")</f>
        <v>Clec16a</v>
      </c>
      <c r="C759" s="3">
        <v>2.8359999999999999</v>
      </c>
      <c r="D759" s="3">
        <v>2.9769999999999999</v>
      </c>
      <c r="E759" s="20">
        <v>4.3479999999999999</v>
      </c>
    </row>
    <row r="760" spans="1:5" x14ac:dyDescent="0.25">
      <c r="A760" t="s">
        <v>1242</v>
      </c>
      <c r="B760" s="1" t="str">
        <f>HYPERLINK("http://www.ncbi.nlm.nih.gov/pubmed/?term=Tmc8", "Tmc8")</f>
        <v>Tmc8</v>
      </c>
      <c r="C760" s="12">
        <v>0.77149999999999996</v>
      </c>
      <c r="D760" s="12">
        <v>0.98150000000000004</v>
      </c>
      <c r="E760" s="22">
        <v>3.8849999999999998</v>
      </c>
    </row>
    <row r="761" spans="1:5" x14ac:dyDescent="0.25">
      <c r="A761" t="s">
        <v>1512</v>
      </c>
      <c r="B761" s="1" t="str">
        <f>HYPERLINK("http://www.ncbi.nlm.nih.gov/pubmed/?term=Klk1b11", "Klk1b11")</f>
        <v>Klk1b11</v>
      </c>
      <c r="C761" s="12">
        <v>-3.6760000000000002</v>
      </c>
      <c r="D761" s="12">
        <v>-0.3236</v>
      </c>
      <c r="E761" s="22">
        <v>3.6549999999999998</v>
      </c>
    </row>
    <row r="762" spans="1:5" x14ac:dyDescent="0.25">
      <c r="A762" t="s">
        <v>1807</v>
      </c>
      <c r="B762" s="1" t="str">
        <f>HYPERLINK("http://www.ncbi.nlm.nih.gov/pubmed/?term=Ero1l", "Ero1l")</f>
        <v>Ero1l</v>
      </c>
      <c r="C762" s="22">
        <v>3.323</v>
      </c>
      <c r="D762" s="22">
        <v>3.0110000000000001</v>
      </c>
      <c r="E762" s="20">
        <v>4.4240000000000004</v>
      </c>
    </row>
    <row r="763" spans="1:5" x14ac:dyDescent="0.25">
      <c r="A763" t="s">
        <v>760</v>
      </c>
      <c r="B763" s="1" t="str">
        <f>HYPERLINK("http://www.ncbi.nlm.nih.gov/pubmed/?term=Slc17a5", "Slc17a5")</f>
        <v>Slc17a5</v>
      </c>
      <c r="C763" s="12">
        <v>0.52249999999999996</v>
      </c>
      <c r="D763" s="3">
        <v>2.2850000000000001</v>
      </c>
      <c r="E763" s="20">
        <v>4.1829999999999998</v>
      </c>
    </row>
    <row r="764" spans="1:5" x14ac:dyDescent="0.25">
      <c r="A764" t="s">
        <v>1655</v>
      </c>
      <c r="B764" s="1" t="str">
        <f>HYPERLINK("http://www.ncbi.nlm.nih.gov/pubmed/?term=Wdr59", "Wdr59")</f>
        <v>Wdr59</v>
      </c>
      <c r="C764" s="22">
        <v>3.1269999999999998</v>
      </c>
      <c r="D764" s="22">
        <v>3.0640000000000001</v>
      </c>
      <c r="E764" s="20">
        <v>4.3769999999999998</v>
      </c>
    </row>
    <row r="765" spans="1:5" x14ac:dyDescent="0.25">
      <c r="A765" t="s">
        <v>1743</v>
      </c>
      <c r="B765" s="1" t="str">
        <f>HYPERLINK("http://www.ncbi.nlm.nih.gov/pubmed/?term=Erg", "Erg")</f>
        <v>Erg</v>
      </c>
      <c r="C765" s="12">
        <v>-2.3180000000000001</v>
      </c>
      <c r="D765" s="12">
        <v>-1.4390000000000001</v>
      </c>
      <c r="E765" s="22">
        <v>3.653</v>
      </c>
    </row>
    <row r="766" spans="1:5" x14ac:dyDescent="0.25">
      <c r="A766" t="s">
        <v>1217</v>
      </c>
      <c r="B766" s="1" t="str">
        <f>HYPERLINK("http://www.ncbi.nlm.nih.gov/pubmed/?term=Ikbke", "Ikbke")</f>
        <v>Ikbke</v>
      </c>
      <c r="C766" s="11">
        <v>1.2130000000000001</v>
      </c>
      <c r="D766" s="22">
        <v>3.093</v>
      </c>
      <c r="E766" s="20">
        <v>4.367</v>
      </c>
    </row>
    <row r="767" spans="1:5" x14ac:dyDescent="0.25">
      <c r="A767" t="s">
        <v>96</v>
      </c>
      <c r="B767" s="1" t="str">
        <f>HYPERLINK("http://www.ncbi.nlm.nih.gov/pubmed/?term=Klf9", "Klf9")</f>
        <v>Klf9</v>
      </c>
      <c r="C767" s="3">
        <v>2.8519999999999999</v>
      </c>
      <c r="D767" s="22">
        <v>3.2869999999999999</v>
      </c>
      <c r="E767" s="20">
        <v>4.4109999999999996</v>
      </c>
    </row>
    <row r="768" spans="1:5" x14ac:dyDescent="0.25">
      <c r="A768" t="s">
        <v>733</v>
      </c>
      <c r="B768" s="1" t="str">
        <f>HYPERLINK("http://www.ncbi.nlm.nih.gov/pubmed/?term=Spata2", "Spata2")</f>
        <v>Spata2</v>
      </c>
      <c r="C768" s="3">
        <v>2.899</v>
      </c>
      <c r="D768" s="3">
        <v>2.8889999999999998</v>
      </c>
      <c r="E768" s="20">
        <v>4.32</v>
      </c>
    </row>
    <row r="769" spans="1:5" x14ac:dyDescent="0.25">
      <c r="A769" t="s">
        <v>190</v>
      </c>
      <c r="B769" s="1" t="str">
        <f>HYPERLINK("http://www.ncbi.nlm.nih.gov/pubmed/?term=Crb3", "Crb3")</f>
        <v>Crb3</v>
      </c>
      <c r="C769" s="12">
        <v>-1.2649999999999999</v>
      </c>
      <c r="D769" s="22">
        <v>3.0960000000000001</v>
      </c>
      <c r="E769" s="20">
        <v>4.359</v>
      </c>
    </row>
    <row r="770" spans="1:5" x14ac:dyDescent="0.25">
      <c r="A770" t="s">
        <v>1337</v>
      </c>
      <c r="B770" s="1" t="str">
        <f>HYPERLINK("http://www.ncbi.nlm.nih.gov/pubmed/?term=Larp6", "Larp6")</f>
        <v>Larp6</v>
      </c>
      <c r="C770" s="12">
        <v>0.42349999999999999</v>
      </c>
      <c r="D770" s="11">
        <v>1.7110000000000001</v>
      </c>
      <c r="E770" s="20">
        <v>4.0309999999999997</v>
      </c>
    </row>
    <row r="771" spans="1:5" x14ac:dyDescent="0.25">
      <c r="A771" t="s">
        <v>909</v>
      </c>
      <c r="B771" s="1" t="str">
        <f>HYPERLINK("http://www.ncbi.nlm.nih.gov/pubmed/?term=Cyp4f16", "Cyp4f16")</f>
        <v>Cyp4f16</v>
      </c>
      <c r="C771" s="11">
        <v>1.611</v>
      </c>
      <c r="D771" s="3">
        <v>2.875</v>
      </c>
      <c r="E771" s="20">
        <v>4.2939999999999996</v>
      </c>
    </row>
    <row r="772" spans="1:5" x14ac:dyDescent="0.25">
      <c r="A772" t="s">
        <v>1306</v>
      </c>
      <c r="B772" s="1" t="str">
        <f>HYPERLINK("http://www.ncbi.nlm.nih.gov/pubmed/?term=Stra8", "Stra8")</f>
        <v>Stra8</v>
      </c>
      <c r="C772" s="12">
        <v>-2.3780000000000001</v>
      </c>
      <c r="D772" s="12">
        <v>-1.256</v>
      </c>
      <c r="E772" s="22">
        <v>3.6030000000000002</v>
      </c>
    </row>
    <row r="773" spans="1:5" x14ac:dyDescent="0.25">
      <c r="A773" t="s">
        <v>1343</v>
      </c>
      <c r="B773" s="1" t="str">
        <f>HYPERLINK("http://www.ncbi.nlm.nih.gov/pubmed/?term=Med26", "Med26")</f>
        <v>Med26</v>
      </c>
      <c r="C773" s="3">
        <v>2.4249999999999998</v>
      </c>
      <c r="D773" s="3">
        <v>2.2149999999999999</v>
      </c>
      <c r="E773" s="20">
        <v>4.1619999999999999</v>
      </c>
    </row>
    <row r="774" spans="1:5" x14ac:dyDescent="0.25">
      <c r="A774" t="s">
        <v>1729</v>
      </c>
      <c r="B774" s="1" t="str">
        <f>HYPERLINK("http://www.ncbi.nlm.nih.gov/pubmed/?term=Glipr1", "Glipr1")</f>
        <v>Glipr1</v>
      </c>
      <c r="C774" s="11">
        <v>1.9019999999999999</v>
      </c>
      <c r="D774" s="11">
        <v>1.5920000000000001</v>
      </c>
      <c r="E774" s="20">
        <v>4.04</v>
      </c>
    </row>
    <row r="775" spans="1:5" x14ac:dyDescent="0.25">
      <c r="A775" t="s">
        <v>208</v>
      </c>
      <c r="B775" s="1" t="str">
        <f>HYPERLINK("http://www.ncbi.nlm.nih.gov/pubmed/?term=Tagap", "Tagap")</f>
        <v>Tagap</v>
      </c>
      <c r="C775" s="12">
        <v>-2.427</v>
      </c>
      <c r="D775" s="12">
        <v>-1.34</v>
      </c>
      <c r="E775" s="22">
        <v>3.5990000000000002</v>
      </c>
    </row>
    <row r="776" spans="1:5" x14ac:dyDescent="0.25">
      <c r="A776" t="s">
        <v>1867</v>
      </c>
      <c r="B776" s="1" t="str">
        <f>HYPERLINK("http://www.ncbi.nlm.nih.gov/pubmed/?term=Tmem38a", "Tmem38a")</f>
        <v>Tmem38a</v>
      </c>
      <c r="C776" s="11">
        <v>1.302</v>
      </c>
      <c r="D776" s="22">
        <v>3.1779999999999999</v>
      </c>
      <c r="E776" s="20">
        <v>4.335</v>
      </c>
    </row>
    <row r="777" spans="1:5" x14ac:dyDescent="0.25">
      <c r="A777" t="s">
        <v>925</v>
      </c>
      <c r="B777" s="1" t="str">
        <f>HYPERLINK("http://www.ncbi.nlm.nih.gov/pubmed/?term=Cyth3", "Cyth3")</f>
        <v>Cyth3</v>
      </c>
      <c r="C777" s="22">
        <v>3.3650000000000002</v>
      </c>
      <c r="D777" s="22">
        <v>3.0419999999999998</v>
      </c>
      <c r="E777" s="20">
        <v>4.3730000000000002</v>
      </c>
    </row>
    <row r="778" spans="1:5" x14ac:dyDescent="0.25">
      <c r="A778" t="s">
        <v>2027</v>
      </c>
      <c r="B778" s="1" t="str">
        <f>HYPERLINK("http://www.ncbi.nlm.nih.gov/pubmed/?term=Ccnb1ip1", "Ccnb1ip1")</f>
        <v>Ccnb1ip1</v>
      </c>
      <c r="C778" s="12">
        <v>-4.758</v>
      </c>
      <c r="D778" s="12">
        <v>-5.1970000000000001</v>
      </c>
      <c r="E778" s="22">
        <v>3.593</v>
      </c>
    </row>
    <row r="779" spans="1:5" x14ac:dyDescent="0.25">
      <c r="A779" t="s">
        <v>1029</v>
      </c>
      <c r="B779" s="1" t="str">
        <f>HYPERLINK("http://www.ncbi.nlm.nih.gov/pubmed/?term=Foxs1", "Foxs1")</f>
        <v>Foxs1</v>
      </c>
      <c r="C779" s="12">
        <v>-6.8229999999999999E-2</v>
      </c>
      <c r="D779" s="11">
        <v>1.075</v>
      </c>
      <c r="E779" s="22">
        <v>3.8420000000000001</v>
      </c>
    </row>
    <row r="780" spans="1:5" x14ac:dyDescent="0.25">
      <c r="A780" t="s">
        <v>420</v>
      </c>
      <c r="B780" s="1" t="str">
        <f>HYPERLINK("http://www.ncbi.nlm.nih.gov/pubmed/?term=Pou2af1", "Pou2af1")</f>
        <v>Pou2af1</v>
      </c>
      <c r="C780" s="12">
        <v>-2.6179999999999999</v>
      </c>
      <c r="D780" s="3">
        <v>2.7519999999999998</v>
      </c>
      <c r="E780" s="20">
        <v>4.2270000000000003</v>
      </c>
    </row>
    <row r="781" spans="1:5" x14ac:dyDescent="0.25">
      <c r="A781" t="s">
        <v>1696</v>
      </c>
      <c r="B781" s="1" t="str">
        <f>HYPERLINK("http://www.ncbi.nlm.nih.gov/pubmed/?term=Coch", "Coch")</f>
        <v>Coch</v>
      </c>
      <c r="C781" s="12">
        <v>-2.2400000000000002</v>
      </c>
      <c r="D781" s="12">
        <v>-1.03</v>
      </c>
      <c r="E781" s="22">
        <v>3.589</v>
      </c>
    </row>
    <row r="782" spans="1:5" x14ac:dyDescent="0.25">
      <c r="A782" t="s">
        <v>9</v>
      </c>
      <c r="B782" s="1" t="str">
        <f>HYPERLINK("http://www.ncbi.nlm.nih.gov/pubmed/?term=Cd68", "Cd68")</f>
        <v>Cd68</v>
      </c>
      <c r="C782" s="12">
        <v>0.4461</v>
      </c>
      <c r="D782" s="11">
        <v>1.655</v>
      </c>
      <c r="E782" s="22">
        <v>3.964</v>
      </c>
    </row>
    <row r="783" spans="1:5" x14ac:dyDescent="0.25">
      <c r="A783" t="s">
        <v>119</v>
      </c>
      <c r="B783" s="1" t="str">
        <f>HYPERLINK("http://www.ncbi.nlm.nih.gov/pubmed/?term=Alas2", "Alas2")</f>
        <v>Alas2</v>
      </c>
      <c r="C783" s="12">
        <v>-2.5710000000000002</v>
      </c>
      <c r="D783" s="12">
        <v>-1.036</v>
      </c>
      <c r="E783" s="22">
        <v>3.5790000000000002</v>
      </c>
    </row>
    <row r="784" spans="1:5" x14ac:dyDescent="0.25">
      <c r="A784" t="s">
        <v>1980</v>
      </c>
      <c r="B784" s="1" t="str">
        <f>HYPERLINK("http://www.ncbi.nlm.nih.gov/pubmed/?term=Qrfpr", "Qrfpr")</f>
        <v>Qrfpr</v>
      </c>
      <c r="C784" s="12">
        <v>-1.385</v>
      </c>
      <c r="D784" s="12">
        <v>-4.6240000000000003E-2</v>
      </c>
      <c r="E784" s="22">
        <v>3.5790000000000002</v>
      </c>
    </row>
    <row r="785" spans="1:5" x14ac:dyDescent="0.25">
      <c r="A785" t="s">
        <v>668</v>
      </c>
      <c r="B785" s="1" t="str">
        <f>HYPERLINK("http://www.ncbi.nlm.nih.gov/pubmed/?term=Gm3054", "Gm3054")</f>
        <v>Gm3054</v>
      </c>
      <c r="C785" s="12">
        <v>-1.635</v>
      </c>
      <c r="D785" s="22">
        <v>3.06</v>
      </c>
      <c r="E785" s="20">
        <v>4.2839999999999998</v>
      </c>
    </row>
    <row r="786" spans="1:5" x14ac:dyDescent="0.25">
      <c r="A786" t="s">
        <v>1761</v>
      </c>
      <c r="B786" s="1" t="str">
        <f>HYPERLINK("http://www.ncbi.nlm.nih.gov/pubmed/?term=Kif9", "Kif9")</f>
        <v>Kif9</v>
      </c>
      <c r="C786" s="11">
        <v>1.1160000000000001</v>
      </c>
      <c r="D786" s="11">
        <v>1.798</v>
      </c>
      <c r="E786" s="22">
        <v>3.992</v>
      </c>
    </row>
    <row r="787" spans="1:5" x14ac:dyDescent="0.25">
      <c r="A787" t="s">
        <v>956</v>
      </c>
      <c r="B787" s="1" t="str">
        <f>HYPERLINK("http://www.ncbi.nlm.nih.gov/pubmed/?term=Slc25a35", "Slc25a35")</f>
        <v>Slc25a35</v>
      </c>
      <c r="C787" s="11">
        <v>1.2649999999999999</v>
      </c>
      <c r="D787" s="22">
        <v>3.2789999999999999</v>
      </c>
      <c r="E787" s="20">
        <v>4.3310000000000004</v>
      </c>
    </row>
    <row r="788" spans="1:5" x14ac:dyDescent="0.25">
      <c r="A788" t="s">
        <v>972</v>
      </c>
      <c r="B788" s="1" t="str">
        <f>HYPERLINK("http://www.ncbi.nlm.nih.gov/pubmed/?term=Oprd1", "Oprd1")</f>
        <v>Oprd1</v>
      </c>
      <c r="C788" s="12">
        <v>-3.9430000000000001</v>
      </c>
      <c r="D788" s="12">
        <v>-0.50460000000000005</v>
      </c>
      <c r="E788" s="22">
        <v>3.57</v>
      </c>
    </row>
    <row r="789" spans="1:5" x14ac:dyDescent="0.25">
      <c r="A789" t="s">
        <v>381</v>
      </c>
      <c r="B789" s="1" t="str">
        <f>HYPERLINK("http://www.ncbi.nlm.nih.gov/pubmed/?term=Pla2g12a", "Pla2g12a")</f>
        <v>Pla2g12a</v>
      </c>
      <c r="C789" s="3">
        <v>2.254</v>
      </c>
      <c r="D789" s="3">
        <v>2.1800000000000002</v>
      </c>
      <c r="E789" s="20">
        <v>4.0890000000000004</v>
      </c>
    </row>
    <row r="790" spans="1:5" x14ac:dyDescent="0.25">
      <c r="A790" t="s">
        <v>118</v>
      </c>
      <c r="B790" s="1" t="str">
        <f>HYPERLINK("http://www.ncbi.nlm.nih.gov/pubmed/?term=Aldh3b1", "Aldh3b1")</f>
        <v>Aldh3b1</v>
      </c>
      <c r="C790" s="12">
        <v>0.4713</v>
      </c>
      <c r="D790" s="3">
        <v>2.2429999999999999</v>
      </c>
      <c r="E790" s="20">
        <v>4.0810000000000004</v>
      </c>
    </row>
    <row r="791" spans="1:5" x14ac:dyDescent="0.25">
      <c r="A791" t="s">
        <v>188</v>
      </c>
      <c r="B791" s="1" t="str">
        <f>HYPERLINK("http://www.ncbi.nlm.nih.gov/pubmed/?term=4930420K17Rik", "4930420K17Rik")</f>
        <v>4930420K17Rik</v>
      </c>
      <c r="C791" s="11">
        <v>1.603</v>
      </c>
      <c r="D791" s="22">
        <v>3.097</v>
      </c>
      <c r="E791" s="20">
        <v>4.2779999999999996</v>
      </c>
    </row>
    <row r="792" spans="1:5" x14ac:dyDescent="0.25">
      <c r="A792" t="s">
        <v>1155</v>
      </c>
      <c r="B792" s="1" t="str">
        <f>HYPERLINK("http://www.ncbi.nlm.nih.gov/pubmed/?term=Gpr128", "Gpr128")</f>
        <v>Gpr128</v>
      </c>
      <c r="C792" s="12">
        <v>-3.2810000000000001</v>
      </c>
      <c r="D792" s="3">
        <v>2.4729999999999999</v>
      </c>
      <c r="E792" s="20">
        <v>4.133</v>
      </c>
    </row>
    <row r="793" spans="1:5" x14ac:dyDescent="0.25">
      <c r="A793" t="s">
        <v>805</v>
      </c>
      <c r="B793" s="1" t="str">
        <f>HYPERLINK("http://www.ncbi.nlm.nih.gov/pubmed/?term=Dock6", "Dock6")</f>
        <v>Dock6</v>
      </c>
      <c r="C793" s="11">
        <v>1.966</v>
      </c>
      <c r="D793" s="3">
        <v>2.0350000000000001</v>
      </c>
      <c r="E793" s="20">
        <v>4.0309999999999997</v>
      </c>
    </row>
    <row r="794" spans="1:5" x14ac:dyDescent="0.25">
      <c r="A794" t="s">
        <v>621</v>
      </c>
      <c r="B794" s="1" t="str">
        <f>HYPERLINK("http://www.ncbi.nlm.nih.gov/pubmed/?term=Madcam1", "Madcam1")</f>
        <v>Madcam1</v>
      </c>
      <c r="C794" s="12">
        <v>-3.1629999999999998</v>
      </c>
      <c r="D794" s="12">
        <v>-0.94540000000000002</v>
      </c>
      <c r="E794" s="22">
        <v>3.56</v>
      </c>
    </row>
    <row r="795" spans="1:5" x14ac:dyDescent="0.25">
      <c r="A795" t="s">
        <v>1123</v>
      </c>
      <c r="B795" s="1" t="str">
        <f>HYPERLINK("http://www.ncbi.nlm.nih.gov/pubmed/?term=Lag3", "Lag3")</f>
        <v>Lag3</v>
      </c>
      <c r="C795" s="12">
        <v>9.6070000000000003E-2</v>
      </c>
      <c r="D795" s="12">
        <v>6.9229999999999997E-4</v>
      </c>
      <c r="E795" s="22">
        <v>3.5819999999999999</v>
      </c>
    </row>
    <row r="796" spans="1:5" x14ac:dyDescent="0.25">
      <c r="A796" t="s">
        <v>1516</v>
      </c>
      <c r="B796" s="1" t="str">
        <f>HYPERLINK("http://www.ncbi.nlm.nih.gov/pubmed/?term=Rnf157", "Rnf157")</f>
        <v>Rnf157</v>
      </c>
      <c r="C796" s="3">
        <v>2.2679999999999998</v>
      </c>
      <c r="D796" s="12">
        <v>0.9627</v>
      </c>
      <c r="E796" s="20">
        <v>4.0650000000000004</v>
      </c>
    </row>
    <row r="797" spans="1:5" x14ac:dyDescent="0.25">
      <c r="A797" t="s">
        <v>1098</v>
      </c>
      <c r="B797" s="1" t="str">
        <f>HYPERLINK("http://www.ncbi.nlm.nih.gov/pubmed/?term=Hk2", "Hk2")</f>
        <v>Hk2</v>
      </c>
      <c r="C797" s="11">
        <v>1.4990000000000001</v>
      </c>
      <c r="D797" s="12">
        <v>0.54100000000000004</v>
      </c>
      <c r="E797" s="22">
        <v>3.887</v>
      </c>
    </row>
    <row r="798" spans="1:5" x14ac:dyDescent="0.25">
      <c r="A798" t="s">
        <v>657</v>
      </c>
      <c r="B798" s="1" t="str">
        <f>HYPERLINK("http://www.ncbi.nlm.nih.gov/pubmed/?term=Bcor", "Bcor")</f>
        <v>Bcor</v>
      </c>
      <c r="C798" s="22">
        <v>3.1419999999999999</v>
      </c>
      <c r="D798" s="3">
        <v>2.077</v>
      </c>
      <c r="E798" s="20">
        <v>4.2629999999999999</v>
      </c>
    </row>
    <row r="799" spans="1:5" x14ac:dyDescent="0.25">
      <c r="A799" t="s">
        <v>1814</v>
      </c>
      <c r="B799" s="1" t="str">
        <f>HYPERLINK("http://www.ncbi.nlm.nih.gov/pubmed/?term=Serpinc1", "Serpinc1")</f>
        <v>Serpinc1</v>
      </c>
      <c r="C799" s="12">
        <v>-1.306</v>
      </c>
      <c r="D799" s="12">
        <v>4.9349999999999998E-2</v>
      </c>
      <c r="E799" s="22">
        <v>3.5339999999999998</v>
      </c>
    </row>
    <row r="800" spans="1:5" x14ac:dyDescent="0.25">
      <c r="A800" t="s">
        <v>344</v>
      </c>
      <c r="B800" s="1" t="str">
        <f>HYPERLINK("http://www.ncbi.nlm.nih.gov/pubmed/?term=Serpina3j", "Serpina3j")</f>
        <v>Serpina3j</v>
      </c>
      <c r="C800" s="12">
        <v>-2.9460000000000002</v>
      </c>
      <c r="D800" s="22">
        <v>3.0640000000000001</v>
      </c>
      <c r="E800" s="20">
        <v>4.2300000000000004</v>
      </c>
    </row>
    <row r="801" spans="1:5" x14ac:dyDescent="0.25">
      <c r="A801" t="s">
        <v>1575</v>
      </c>
      <c r="B801" s="1" t="str">
        <f>HYPERLINK("http://www.ncbi.nlm.nih.gov/pubmed/?term=Epha2", "Epha2")</f>
        <v>Epha2</v>
      </c>
      <c r="C801" s="12">
        <v>-2.2400000000000002</v>
      </c>
      <c r="D801" s="11">
        <v>1.528</v>
      </c>
      <c r="E801" s="22">
        <v>3.867</v>
      </c>
    </row>
    <row r="802" spans="1:5" x14ac:dyDescent="0.25">
      <c r="A802" t="s">
        <v>995</v>
      </c>
      <c r="B802" s="1" t="str">
        <f>HYPERLINK("http://www.ncbi.nlm.nih.gov/pubmed/?term=Galnt7", "Galnt7")</f>
        <v>Galnt7</v>
      </c>
      <c r="C802" s="3">
        <v>2.0329999999999999</v>
      </c>
      <c r="D802" s="3">
        <v>2.4929999999999999</v>
      </c>
      <c r="E802" s="20">
        <v>4.08</v>
      </c>
    </row>
    <row r="803" spans="1:5" x14ac:dyDescent="0.25">
      <c r="A803" t="s">
        <v>1387</v>
      </c>
      <c r="B803" s="1" t="str">
        <f>HYPERLINK("http://www.ncbi.nlm.nih.gov/pubmed/?term=Serpina9", "Serpina9")</f>
        <v>Serpina9</v>
      </c>
      <c r="C803" s="12">
        <v>-3.3580000000000001</v>
      </c>
      <c r="D803" s="11">
        <v>1.016</v>
      </c>
      <c r="E803" s="22">
        <v>3.7349999999999999</v>
      </c>
    </row>
    <row r="804" spans="1:5" x14ac:dyDescent="0.25">
      <c r="A804" t="s">
        <v>672</v>
      </c>
      <c r="B804" s="1" t="str">
        <f>HYPERLINK("http://www.ncbi.nlm.nih.gov/pubmed/?term=Vrk2", "Vrk2")</f>
        <v>Vrk2</v>
      </c>
      <c r="C804" s="22">
        <v>3.05</v>
      </c>
      <c r="D804" s="22">
        <v>3.222</v>
      </c>
      <c r="E804" s="20">
        <v>4.2389999999999999</v>
      </c>
    </row>
    <row r="805" spans="1:5" x14ac:dyDescent="0.25">
      <c r="A805" t="s">
        <v>1114</v>
      </c>
      <c r="B805" s="1" t="str">
        <f>HYPERLINK("http://www.ncbi.nlm.nih.gov/pubmed/?term=Wnt10a", "Wnt10a")</f>
        <v>Wnt10a</v>
      </c>
      <c r="C805" s="12">
        <v>-2.3820000000000001</v>
      </c>
      <c r="D805" s="22">
        <v>3.0019999999999998</v>
      </c>
      <c r="E805" s="20">
        <v>4.1829999999999998</v>
      </c>
    </row>
    <row r="806" spans="1:5" x14ac:dyDescent="0.25">
      <c r="A806" t="s">
        <v>1698</v>
      </c>
      <c r="B806" s="1" t="str">
        <f>HYPERLINK("http://www.ncbi.nlm.nih.gov/pubmed/?term=Serpinb7", "Serpinb7")</f>
        <v>Serpinb7</v>
      </c>
      <c r="C806" s="12">
        <v>-1.8720000000000001</v>
      </c>
      <c r="D806" s="3">
        <v>2.0489999999999999</v>
      </c>
      <c r="E806" s="22">
        <v>3.96</v>
      </c>
    </row>
    <row r="807" spans="1:5" x14ac:dyDescent="0.25">
      <c r="A807" t="s">
        <v>397</v>
      </c>
      <c r="B807" s="1" t="str">
        <f>HYPERLINK("http://www.ncbi.nlm.nih.gov/pubmed/?term=Ccl22", "Ccl22")</f>
        <v>Ccl22</v>
      </c>
      <c r="C807" s="12">
        <v>0.2616</v>
      </c>
      <c r="D807" s="11">
        <v>1.7629999999999999</v>
      </c>
      <c r="E807" s="22">
        <v>3.8889999999999998</v>
      </c>
    </row>
    <row r="808" spans="1:5" x14ac:dyDescent="0.25">
      <c r="A808" t="s">
        <v>2020</v>
      </c>
      <c r="B808" s="1" t="str">
        <f>HYPERLINK("http://www.ncbi.nlm.nih.gov/pubmed/?term=Fsd2", "Fsd2")</f>
        <v>Fsd2</v>
      </c>
      <c r="C808" s="12">
        <v>-2.2280000000000002</v>
      </c>
      <c r="D808" s="12">
        <v>-0.65749999999999997</v>
      </c>
      <c r="E808" s="22">
        <v>3.4780000000000002</v>
      </c>
    </row>
    <row r="809" spans="1:5" x14ac:dyDescent="0.25">
      <c r="A809" t="s">
        <v>712</v>
      </c>
      <c r="B809" s="1" t="str">
        <f>HYPERLINK("http://www.ncbi.nlm.nih.gov/pubmed/?term=Mnda", "Mnda")</f>
        <v>Mnda</v>
      </c>
      <c r="C809" s="12">
        <v>-1.8120000000000001</v>
      </c>
      <c r="D809" s="22">
        <v>3.0619999999999998</v>
      </c>
      <c r="E809" s="20">
        <v>4.1840000000000002</v>
      </c>
    </row>
    <row r="810" spans="1:5" x14ac:dyDescent="0.25">
      <c r="A810" t="s">
        <v>1608</v>
      </c>
      <c r="B810" s="1" t="str">
        <f>HYPERLINK("http://www.ncbi.nlm.nih.gov/pubmed/?term=Ttll5", "Ttll5")</f>
        <v>Ttll5</v>
      </c>
      <c r="C810" s="3">
        <v>2.8559999999999999</v>
      </c>
      <c r="D810" s="3">
        <v>2.9380000000000002</v>
      </c>
      <c r="E810" s="20">
        <v>4.1539999999999999</v>
      </c>
    </row>
    <row r="811" spans="1:5" x14ac:dyDescent="0.25">
      <c r="A811" t="s">
        <v>837</v>
      </c>
      <c r="B811" s="1" t="str">
        <f>HYPERLINK("http://www.ncbi.nlm.nih.gov/pubmed/?term=Ttr", "Ttr")</f>
        <v>Ttr</v>
      </c>
      <c r="C811" s="12">
        <v>-3.5670000000000002</v>
      </c>
      <c r="D811" s="12">
        <v>0.45269999999999999</v>
      </c>
      <c r="E811" s="22">
        <v>3.5760000000000001</v>
      </c>
    </row>
    <row r="812" spans="1:5" x14ac:dyDescent="0.25">
      <c r="A812" t="s">
        <v>1099</v>
      </c>
      <c r="B812" s="1" t="str">
        <f>HYPERLINK("http://www.ncbi.nlm.nih.gov/pubmed/?term=Fbxo2", "Fbxo2")</f>
        <v>Fbxo2</v>
      </c>
      <c r="C812" s="12">
        <v>-1.3180000000000001</v>
      </c>
      <c r="D812" s="3">
        <v>2.72</v>
      </c>
      <c r="E812" s="20">
        <v>4.0999999999999996</v>
      </c>
    </row>
    <row r="813" spans="1:5" x14ac:dyDescent="0.25">
      <c r="A813" t="s">
        <v>1328</v>
      </c>
      <c r="B813" s="1" t="str">
        <f>HYPERLINK("http://www.ncbi.nlm.nih.gov/pubmed/?term=Cdkn2c", "Cdkn2c")</f>
        <v>Cdkn2c</v>
      </c>
      <c r="C813" s="3">
        <v>2.3279999999999998</v>
      </c>
      <c r="D813" s="3">
        <v>2.6059999999999999</v>
      </c>
      <c r="E813" s="20">
        <v>4.0709999999999997</v>
      </c>
    </row>
    <row r="814" spans="1:5" x14ac:dyDescent="0.25">
      <c r="A814" t="s">
        <v>508</v>
      </c>
      <c r="B814" s="1" t="str">
        <f>HYPERLINK("http://www.ncbi.nlm.nih.gov/pubmed/?term=Grem1", "Grem1")</f>
        <v>Grem1</v>
      </c>
      <c r="C814" s="12">
        <v>-2.524</v>
      </c>
      <c r="D814" s="11">
        <v>1.1830000000000001</v>
      </c>
      <c r="E814" s="22">
        <v>3.7410000000000001</v>
      </c>
    </row>
    <row r="815" spans="1:5" x14ac:dyDescent="0.25">
      <c r="A815" t="s">
        <v>161</v>
      </c>
      <c r="B815" s="1" t="str">
        <f>HYPERLINK("http://www.ncbi.nlm.nih.gov/pubmed/?term=1600012P17Rik", "1600012P17Rik")</f>
        <v>1600012P17Rik</v>
      </c>
      <c r="C815" s="12">
        <v>-4.7640000000000002</v>
      </c>
      <c r="D815" s="12">
        <v>-2.754</v>
      </c>
      <c r="E815" s="22">
        <v>3.464</v>
      </c>
    </row>
    <row r="816" spans="1:5" x14ac:dyDescent="0.25">
      <c r="A816" t="s">
        <v>158</v>
      </c>
      <c r="B816" s="1" t="str">
        <f>HYPERLINK("http://www.ncbi.nlm.nih.gov/pubmed/?term=Slc25a19", "Slc25a19")</f>
        <v>Slc25a19</v>
      </c>
      <c r="C816" s="3">
        <v>2.8250000000000002</v>
      </c>
      <c r="D816" s="3">
        <v>2.9820000000000002</v>
      </c>
      <c r="E816" s="20">
        <v>4.1529999999999996</v>
      </c>
    </row>
    <row r="817" spans="1:5" x14ac:dyDescent="0.25">
      <c r="A817" t="s">
        <v>704</v>
      </c>
      <c r="B817" s="1" t="str">
        <f>HYPERLINK("http://www.ncbi.nlm.nih.gov/pubmed/?term=Mvd", "Mvd")</f>
        <v>Mvd</v>
      </c>
      <c r="C817" s="11">
        <v>1.698</v>
      </c>
      <c r="D817" s="11">
        <v>1.7889999999999999</v>
      </c>
      <c r="E817" s="22">
        <v>3.8740000000000001</v>
      </c>
    </row>
    <row r="818" spans="1:5" x14ac:dyDescent="0.25">
      <c r="A818" t="s">
        <v>1508</v>
      </c>
      <c r="B818" s="1" t="str">
        <f>HYPERLINK("http://www.ncbi.nlm.nih.gov/pubmed/?term=Tyk2", "Tyk2")</f>
        <v>Tyk2</v>
      </c>
      <c r="C818" s="3">
        <v>2.9220000000000002</v>
      </c>
      <c r="D818" s="3">
        <v>2.9729999999999999</v>
      </c>
      <c r="E818" s="20">
        <v>4.1470000000000002</v>
      </c>
    </row>
    <row r="819" spans="1:5" x14ac:dyDescent="0.25">
      <c r="A819" t="s">
        <v>261</v>
      </c>
      <c r="B819" s="1" t="str">
        <f>HYPERLINK("http://www.ncbi.nlm.nih.gov/pubmed/?term=Apex2", "Apex2")</f>
        <v>Apex2</v>
      </c>
      <c r="C819" s="3">
        <v>2.7269999999999999</v>
      </c>
      <c r="D819" s="3">
        <v>2.577</v>
      </c>
      <c r="E819" s="20">
        <v>4.0890000000000004</v>
      </c>
    </row>
    <row r="820" spans="1:5" x14ac:dyDescent="0.25">
      <c r="A820" t="s">
        <v>1350</v>
      </c>
      <c r="B820" s="1" t="str">
        <f>HYPERLINK("http://www.ncbi.nlm.nih.gov/pubmed/?term=Zfp641", "Zfp641")</f>
        <v>Zfp641</v>
      </c>
      <c r="C820" s="12">
        <v>0.12509999999999999</v>
      </c>
      <c r="D820" s="12">
        <v>0.81859999999999999</v>
      </c>
      <c r="E820" s="22">
        <v>3.6459999999999999</v>
      </c>
    </row>
    <row r="821" spans="1:5" x14ac:dyDescent="0.25">
      <c r="A821" t="s">
        <v>1583</v>
      </c>
      <c r="B821" s="1" t="str">
        <f>HYPERLINK("http://www.ncbi.nlm.nih.gov/pubmed/?term=Foxd3", "Foxd3")</f>
        <v>Foxd3</v>
      </c>
      <c r="C821" s="12">
        <v>-7.6529999999999996</v>
      </c>
      <c r="D821" s="12">
        <v>-0.18190000000000001</v>
      </c>
      <c r="E821" s="22">
        <v>3.4550000000000001</v>
      </c>
    </row>
    <row r="822" spans="1:5" x14ac:dyDescent="0.25">
      <c r="A822" t="s">
        <v>21</v>
      </c>
      <c r="B822" s="1" t="str">
        <f>HYPERLINK("http://www.ncbi.nlm.nih.gov/pubmed/?term=Ccbp2", "Ccbp2")</f>
        <v>Ccbp2</v>
      </c>
      <c r="C822" s="12">
        <v>-5.4429999999999996</v>
      </c>
      <c r="D822" s="12">
        <v>-3.5379999999999998</v>
      </c>
      <c r="E822" s="22">
        <v>3.452</v>
      </c>
    </row>
    <row r="823" spans="1:5" x14ac:dyDescent="0.25">
      <c r="A823" t="s">
        <v>423</v>
      </c>
      <c r="B823" s="1" t="str">
        <f>HYPERLINK("http://www.ncbi.nlm.nih.gov/pubmed/?term=Uxs1", "Uxs1")</f>
        <v>Uxs1</v>
      </c>
      <c r="C823" s="3">
        <v>2.4729999999999999</v>
      </c>
      <c r="D823" s="3">
        <v>2.746</v>
      </c>
      <c r="E823" s="20">
        <v>4.0860000000000003</v>
      </c>
    </row>
    <row r="824" spans="1:5" x14ac:dyDescent="0.25">
      <c r="A824" t="s">
        <v>1286</v>
      </c>
      <c r="B824" s="1" t="str">
        <f>HYPERLINK("http://www.ncbi.nlm.nih.gov/pubmed/?term=Zdhhc24", "Zdhhc24")</f>
        <v>Zdhhc24</v>
      </c>
      <c r="C824" s="3">
        <v>2.7490000000000001</v>
      </c>
      <c r="D824" s="3">
        <v>2.407</v>
      </c>
      <c r="E824" s="20">
        <v>4.0839999999999996</v>
      </c>
    </row>
    <row r="825" spans="1:5" x14ac:dyDescent="0.25">
      <c r="A825" t="s">
        <v>1580</v>
      </c>
      <c r="B825" s="1" t="str">
        <f>HYPERLINK("http://www.ncbi.nlm.nih.gov/pubmed/?term=Slc7a5", "Slc7a5")</f>
        <v>Slc7a5</v>
      </c>
      <c r="C825" s="12">
        <v>0.87709999999999999</v>
      </c>
      <c r="D825" s="3">
        <v>2.4449999999999998</v>
      </c>
      <c r="E825" s="20">
        <v>4.0129999999999999</v>
      </c>
    </row>
    <row r="826" spans="1:5" x14ac:dyDescent="0.25">
      <c r="A826" t="s">
        <v>179</v>
      </c>
      <c r="B826" s="1" t="str">
        <f>HYPERLINK("http://www.ncbi.nlm.nih.gov/pubmed/?term=Olfr1136", "Olfr1136")</f>
        <v>Olfr1136</v>
      </c>
      <c r="C826" s="12">
        <v>-6.4859999999999998</v>
      </c>
      <c r="D826" s="12">
        <v>-5.0659999999999998</v>
      </c>
      <c r="E826" s="22">
        <v>3.4449999999999998</v>
      </c>
    </row>
    <row r="827" spans="1:5" x14ac:dyDescent="0.25">
      <c r="A827" t="s">
        <v>1986</v>
      </c>
      <c r="B827" s="1" t="str">
        <f>HYPERLINK("http://www.ncbi.nlm.nih.gov/pubmed/?term=Prss35", "Prss35")</f>
        <v>Prss35</v>
      </c>
      <c r="C827" s="12">
        <v>-0.35160000000000002</v>
      </c>
      <c r="D827" s="12">
        <v>1.8890000000000001E-3</v>
      </c>
      <c r="E827" s="22">
        <v>3.4449999999999998</v>
      </c>
    </row>
    <row r="828" spans="1:5" x14ac:dyDescent="0.25">
      <c r="A828" t="s">
        <v>463</v>
      </c>
      <c r="B828" s="1" t="str">
        <f>HYPERLINK("http://www.ncbi.nlm.nih.gov/pubmed/?term=Zbtb46", "Zbtb46")</f>
        <v>Zbtb46</v>
      </c>
      <c r="C828" s="12">
        <v>-0.1933</v>
      </c>
      <c r="D828" s="3">
        <v>2.351</v>
      </c>
      <c r="E828" s="22">
        <v>3.988</v>
      </c>
    </row>
    <row r="829" spans="1:5" x14ac:dyDescent="0.25">
      <c r="A829" t="s">
        <v>456</v>
      </c>
      <c r="B829" s="1" t="str">
        <f>HYPERLINK("http://www.ncbi.nlm.nih.gov/pubmed/?term=Chst1", "Chst1")</f>
        <v>Chst1</v>
      </c>
      <c r="C829" s="12">
        <v>-2.4089999999999998</v>
      </c>
      <c r="D829" s="12">
        <v>-0.25019999999999998</v>
      </c>
      <c r="E829" s="22">
        <v>3.4430000000000001</v>
      </c>
    </row>
    <row r="830" spans="1:5" x14ac:dyDescent="0.25">
      <c r="A830" t="s">
        <v>202</v>
      </c>
      <c r="B830" s="1" t="str">
        <f>HYPERLINK("http://www.ncbi.nlm.nih.gov/pubmed/?term=Mef2b", "Mef2b")</f>
        <v>Mef2b</v>
      </c>
      <c r="C830" s="12">
        <v>-2.4390000000000001</v>
      </c>
      <c r="D830" s="12">
        <v>0.97019999999999995</v>
      </c>
      <c r="E830" s="22">
        <v>3.661</v>
      </c>
    </row>
    <row r="831" spans="1:5" x14ac:dyDescent="0.25">
      <c r="A831" t="s">
        <v>1505</v>
      </c>
      <c r="B831" s="1" t="str">
        <f>HYPERLINK("http://www.ncbi.nlm.nih.gov/pubmed/?term=Grhl3", "Grhl3")</f>
        <v>Grhl3</v>
      </c>
      <c r="C831" s="12">
        <v>-2.141</v>
      </c>
      <c r="D831" s="11">
        <v>1.843</v>
      </c>
      <c r="E831" s="22">
        <v>3.86</v>
      </c>
    </row>
    <row r="832" spans="1:5" x14ac:dyDescent="0.25">
      <c r="A832" t="s">
        <v>1738</v>
      </c>
      <c r="B832" s="1" t="str">
        <f>HYPERLINK("http://www.ncbi.nlm.nih.gov/pubmed/?term=Zar1", "Zar1")</f>
        <v>Zar1</v>
      </c>
      <c r="C832" s="12">
        <v>-1.349E-2</v>
      </c>
      <c r="D832" s="12">
        <v>0.10050000000000001</v>
      </c>
      <c r="E832" s="22">
        <v>3.4569999999999999</v>
      </c>
    </row>
    <row r="833" spans="1:5" x14ac:dyDescent="0.25">
      <c r="A833" t="s">
        <v>343</v>
      </c>
      <c r="B833" s="1" t="str">
        <f>HYPERLINK("http://www.ncbi.nlm.nih.gov/pubmed/?term=Nek8", "Nek8")</f>
        <v>Nek8</v>
      </c>
      <c r="C833" s="11">
        <v>1.831</v>
      </c>
      <c r="D833" s="11">
        <v>1.6970000000000001</v>
      </c>
      <c r="E833" s="22">
        <v>3.8570000000000002</v>
      </c>
    </row>
    <row r="834" spans="1:5" x14ac:dyDescent="0.25">
      <c r="A834" t="s">
        <v>153</v>
      </c>
      <c r="B834" s="1" t="str">
        <f>HYPERLINK("http://www.ncbi.nlm.nih.gov/pubmed/?term=Klhdc8a", "Klhdc8a")</f>
        <v>Klhdc8a</v>
      </c>
      <c r="C834" s="3">
        <v>2.9169999999999998</v>
      </c>
      <c r="D834" s="11">
        <v>1.4670000000000001</v>
      </c>
      <c r="E834" s="20">
        <v>4.1020000000000003</v>
      </c>
    </row>
    <row r="835" spans="1:5" x14ac:dyDescent="0.25">
      <c r="A835" t="s">
        <v>715</v>
      </c>
      <c r="B835" s="1" t="str">
        <f>HYPERLINK("http://www.ncbi.nlm.nih.gov/pubmed/?term=Rgl3", "Rgl3")</f>
        <v>Rgl3</v>
      </c>
      <c r="C835" s="11">
        <v>1.9550000000000001</v>
      </c>
      <c r="D835" s="3">
        <v>2.726</v>
      </c>
      <c r="E835" s="20">
        <v>4.0579999999999998</v>
      </c>
    </row>
    <row r="836" spans="1:5" x14ac:dyDescent="0.25">
      <c r="A836" t="s">
        <v>350</v>
      </c>
      <c r="B836" s="1" t="str">
        <f>HYPERLINK("http://www.ncbi.nlm.nih.gov/pubmed/?term=Trim65", "Trim65")</f>
        <v>Trim65</v>
      </c>
      <c r="C836" s="3">
        <v>2.097</v>
      </c>
      <c r="D836" s="22">
        <v>3.044</v>
      </c>
      <c r="E836" s="20">
        <v>4.13</v>
      </c>
    </row>
    <row r="837" spans="1:5" x14ac:dyDescent="0.25">
      <c r="A837" t="s">
        <v>854</v>
      </c>
      <c r="B837" s="1" t="str">
        <f>HYPERLINK("http://www.ncbi.nlm.nih.gov/pubmed/?term=A630095E13Rik", "A630095E13Rik")</f>
        <v>A630095E13Rik</v>
      </c>
      <c r="C837" s="12">
        <v>-3.472</v>
      </c>
      <c r="D837" s="12">
        <v>-0.52039999999999997</v>
      </c>
      <c r="E837" s="22">
        <v>3.423</v>
      </c>
    </row>
    <row r="838" spans="1:5" x14ac:dyDescent="0.25">
      <c r="A838" t="s">
        <v>292</v>
      </c>
      <c r="B838" s="1" t="str">
        <f>HYPERLINK("http://www.ncbi.nlm.nih.gov/pubmed/?term=Il4", "Il4")</f>
        <v>Il4</v>
      </c>
      <c r="C838" s="12">
        <v>-3.9929999999999999</v>
      </c>
      <c r="D838" s="12">
        <v>-2.68</v>
      </c>
      <c r="E838" s="22">
        <v>3.4220000000000002</v>
      </c>
    </row>
    <row r="839" spans="1:5" x14ac:dyDescent="0.25">
      <c r="A839" t="s">
        <v>509</v>
      </c>
      <c r="B839" s="1" t="str">
        <f>HYPERLINK("http://www.ncbi.nlm.nih.gov/pubmed/?term=Omp", "Omp")</f>
        <v>Omp</v>
      </c>
      <c r="C839" s="12">
        <v>-3.2309999999999999</v>
      </c>
      <c r="D839" s="12">
        <v>0.78100000000000003</v>
      </c>
      <c r="E839" s="22">
        <v>3.5979999999999999</v>
      </c>
    </row>
    <row r="840" spans="1:5" x14ac:dyDescent="0.25">
      <c r="A840" t="s">
        <v>287</v>
      </c>
      <c r="B840" s="1" t="str">
        <f>HYPERLINK("http://www.ncbi.nlm.nih.gov/pubmed/?term=Dcaf12l2", "Dcaf12l2")</f>
        <v>Dcaf12l2</v>
      </c>
      <c r="C840" s="12">
        <v>-0.70389999999999997</v>
      </c>
      <c r="D840" s="12">
        <v>-1.083</v>
      </c>
      <c r="E840" s="22">
        <v>3.4079999999999999</v>
      </c>
    </row>
    <row r="841" spans="1:5" x14ac:dyDescent="0.25">
      <c r="A841" t="s">
        <v>1380</v>
      </c>
      <c r="B841" s="1" t="str">
        <f>HYPERLINK("http://www.ncbi.nlm.nih.gov/pubmed/?term=BC016495", "BC016495")</f>
        <v>BC016495</v>
      </c>
      <c r="C841" s="12">
        <v>0.5262</v>
      </c>
      <c r="D841" s="3">
        <v>2.1739999999999999</v>
      </c>
      <c r="E841" s="22">
        <v>3.911</v>
      </c>
    </row>
    <row r="842" spans="1:5" x14ac:dyDescent="0.25">
      <c r="A842" t="s">
        <v>1239</v>
      </c>
      <c r="B842" s="1" t="str">
        <f>HYPERLINK("http://www.ncbi.nlm.nih.gov/pubmed/?term=Grasp", "Grasp")</f>
        <v>Grasp</v>
      </c>
      <c r="C842" s="11">
        <v>1.1659999999999999</v>
      </c>
      <c r="D842" s="22">
        <v>3.0129999999999999</v>
      </c>
      <c r="E842" s="20">
        <v>4.093</v>
      </c>
    </row>
    <row r="843" spans="1:5" x14ac:dyDescent="0.25">
      <c r="A843" t="s">
        <v>1854</v>
      </c>
      <c r="B843" s="1" t="str">
        <f>HYPERLINK("http://www.ncbi.nlm.nih.gov/pubmed/?term=Nol4", "Nol4")</f>
        <v>Nol4</v>
      </c>
      <c r="C843" s="3">
        <v>2.48</v>
      </c>
      <c r="D843" s="22">
        <v>3.1019999999999999</v>
      </c>
      <c r="E843" s="20">
        <v>4.1120000000000001</v>
      </c>
    </row>
    <row r="844" spans="1:5" x14ac:dyDescent="0.25">
      <c r="A844" t="s">
        <v>1834</v>
      </c>
      <c r="B844" s="1" t="str">
        <f>HYPERLINK("http://www.ncbi.nlm.nih.gov/pubmed/?term=Myh15", "Myh15")</f>
        <v>Myh15</v>
      </c>
      <c r="C844" s="12">
        <v>-4.8719999999999999</v>
      </c>
      <c r="D844" s="12">
        <v>-1.74</v>
      </c>
      <c r="E844" s="22">
        <v>3.3929999999999998</v>
      </c>
    </row>
    <row r="845" spans="1:5" x14ac:dyDescent="0.25">
      <c r="A845" t="s">
        <v>1528</v>
      </c>
      <c r="B845" s="1" t="str">
        <f>HYPERLINK("http://www.ncbi.nlm.nih.gov/pubmed/?term=BC021614", "BC021614")</f>
        <v>BC021614</v>
      </c>
      <c r="C845" s="12">
        <v>-2.1110000000000002</v>
      </c>
      <c r="D845" s="3">
        <v>2.734</v>
      </c>
      <c r="E845" s="20">
        <v>4.024</v>
      </c>
    </row>
    <row r="846" spans="1:5" x14ac:dyDescent="0.25">
      <c r="A846" t="s">
        <v>82</v>
      </c>
      <c r="B846" s="1" t="str">
        <f>HYPERLINK("http://www.ncbi.nlm.nih.gov/pubmed/?term=Fam19a1", "Fam19a1")</f>
        <v>Fam19a1</v>
      </c>
      <c r="C846" s="12">
        <v>-2.15</v>
      </c>
      <c r="D846" s="12">
        <v>0.40379999999999999</v>
      </c>
      <c r="E846" s="22">
        <v>3.484</v>
      </c>
    </row>
    <row r="847" spans="1:5" x14ac:dyDescent="0.25">
      <c r="A847" t="s">
        <v>306</v>
      </c>
      <c r="B847" s="1" t="str">
        <f>HYPERLINK("http://www.ncbi.nlm.nih.gov/pubmed/?term=Fam46c", "Fam46c")</f>
        <v>Fam46c</v>
      </c>
      <c r="C847" s="12">
        <v>-1.2609999999999999</v>
      </c>
      <c r="D847" s="12">
        <v>0.69230000000000003</v>
      </c>
      <c r="E847" s="22">
        <v>3.5489999999999999</v>
      </c>
    </row>
    <row r="848" spans="1:5" x14ac:dyDescent="0.25">
      <c r="A848" t="s">
        <v>327</v>
      </c>
      <c r="B848" s="1" t="str">
        <f>HYPERLINK("http://www.ncbi.nlm.nih.gov/pubmed/?term=Pik3cb", "Pik3cb")</f>
        <v>Pik3cb</v>
      </c>
      <c r="C848" s="12">
        <v>0.44829999999999998</v>
      </c>
      <c r="D848" s="3">
        <v>2.1360000000000001</v>
      </c>
      <c r="E848" s="22">
        <v>3.8809999999999998</v>
      </c>
    </row>
    <row r="849" spans="1:5" x14ac:dyDescent="0.25">
      <c r="A849" t="s">
        <v>600</v>
      </c>
      <c r="B849" s="1" t="str">
        <f>HYPERLINK("http://www.ncbi.nlm.nih.gov/pubmed/?term=Piwil4", "Piwil4")</f>
        <v>Piwil4</v>
      </c>
      <c r="C849" s="12">
        <v>-0.4471</v>
      </c>
      <c r="D849" s="11">
        <v>1.8009999999999999</v>
      </c>
      <c r="E849" s="22">
        <v>3.802</v>
      </c>
    </row>
    <row r="850" spans="1:5" x14ac:dyDescent="0.25">
      <c r="A850" t="s">
        <v>579</v>
      </c>
      <c r="B850" s="1" t="str">
        <f>HYPERLINK("http://www.ncbi.nlm.nih.gov/pubmed/?term=Tfcp2l1", "Tfcp2l1")</f>
        <v>Tfcp2l1</v>
      </c>
      <c r="C850" s="11">
        <v>1.171</v>
      </c>
      <c r="D850" s="3">
        <v>2.3149999999999999</v>
      </c>
      <c r="E850" s="22">
        <v>3.9180000000000001</v>
      </c>
    </row>
    <row r="851" spans="1:5" x14ac:dyDescent="0.25">
      <c r="A851" t="s">
        <v>1643</v>
      </c>
      <c r="B851" s="1" t="str">
        <f>HYPERLINK("http://www.ncbi.nlm.nih.gov/pubmed/?term=Dock2", "Dock2")</f>
        <v>Dock2</v>
      </c>
      <c r="C851" s="11">
        <v>1.1040000000000001</v>
      </c>
      <c r="D851" s="12">
        <v>0.68579999999999997</v>
      </c>
      <c r="E851" s="22">
        <v>3.6360000000000001</v>
      </c>
    </row>
    <row r="852" spans="1:5" x14ac:dyDescent="0.25">
      <c r="A852" t="s">
        <v>923</v>
      </c>
      <c r="B852" s="1" t="str">
        <f>HYPERLINK("http://www.ncbi.nlm.nih.gov/pubmed/?term=Fads6", "Fads6")</f>
        <v>Fads6</v>
      </c>
      <c r="C852" s="12">
        <v>-1.139</v>
      </c>
      <c r="D852" s="3">
        <v>2.6829999999999998</v>
      </c>
      <c r="E852" s="22">
        <v>3.9990000000000001</v>
      </c>
    </row>
    <row r="853" spans="1:5" x14ac:dyDescent="0.25">
      <c r="A853" t="s">
        <v>1074</v>
      </c>
      <c r="B853" s="1" t="str">
        <f>HYPERLINK("http://www.ncbi.nlm.nih.gov/pubmed/?term=Hacl1", "Hacl1")</f>
        <v>Hacl1</v>
      </c>
      <c r="C853" s="3">
        <v>2.2440000000000002</v>
      </c>
      <c r="D853" s="3">
        <v>2.3460000000000001</v>
      </c>
      <c r="E853" s="22">
        <v>3.915</v>
      </c>
    </row>
    <row r="854" spans="1:5" x14ac:dyDescent="0.25">
      <c r="A854" t="s">
        <v>194</v>
      </c>
      <c r="B854" s="1" t="str">
        <f>HYPERLINK("http://www.ncbi.nlm.nih.gov/pubmed/?term=Tgm3", "Tgm3")</f>
        <v>Tgm3</v>
      </c>
      <c r="C854" s="12">
        <v>-2.0840000000000001</v>
      </c>
      <c r="D854" s="12">
        <v>0.73350000000000004</v>
      </c>
      <c r="E854" s="22">
        <v>3.5369999999999999</v>
      </c>
    </row>
    <row r="855" spans="1:5" x14ac:dyDescent="0.25">
      <c r="A855" t="s">
        <v>1196</v>
      </c>
      <c r="B855" s="1" t="str">
        <f>HYPERLINK("http://www.ncbi.nlm.nih.gov/pubmed/?term=Trib3", "Trib3")</f>
        <v>Trib3</v>
      </c>
      <c r="C855" s="11">
        <v>1.5860000000000001</v>
      </c>
      <c r="D855" s="12">
        <v>-0.16880000000000001</v>
      </c>
      <c r="E855" s="22">
        <v>3.7330000000000001</v>
      </c>
    </row>
    <row r="856" spans="1:5" x14ac:dyDescent="0.25">
      <c r="A856" t="s">
        <v>2042</v>
      </c>
      <c r="B856" s="1" t="str">
        <f>HYPERLINK("http://www.ncbi.nlm.nih.gov/pubmed/?term=Ptpn21", "Ptpn21")</f>
        <v>Ptpn21</v>
      </c>
      <c r="C856" s="3">
        <v>2.5960000000000001</v>
      </c>
      <c r="D856" s="3">
        <v>2.2559999999999998</v>
      </c>
      <c r="E856" s="22">
        <v>3.9630000000000001</v>
      </c>
    </row>
    <row r="857" spans="1:5" x14ac:dyDescent="0.25">
      <c r="A857" t="s">
        <v>1634</v>
      </c>
      <c r="B857" s="1" t="str">
        <f>HYPERLINK("http://www.ncbi.nlm.nih.gov/pubmed/?term=Rasip1", "Rasip1")</f>
        <v>Rasip1</v>
      </c>
      <c r="C857" s="12">
        <v>0.34589999999999999</v>
      </c>
      <c r="D857" s="3">
        <v>2.35</v>
      </c>
      <c r="E857" s="22">
        <v>3.9039999999999999</v>
      </c>
    </row>
    <row r="858" spans="1:5" x14ac:dyDescent="0.25">
      <c r="A858" t="s">
        <v>1612</v>
      </c>
      <c r="B858" s="1" t="str">
        <f>HYPERLINK("http://www.ncbi.nlm.nih.gov/pubmed/?term=Ltb", "Ltb")</f>
        <v>Ltb</v>
      </c>
      <c r="C858" s="12">
        <v>0.71689999999999998</v>
      </c>
      <c r="D858" s="3">
        <v>2.988</v>
      </c>
      <c r="E858" s="20">
        <v>4.0490000000000004</v>
      </c>
    </row>
    <row r="859" spans="1:5" x14ac:dyDescent="0.25">
      <c r="A859" t="s">
        <v>413</v>
      </c>
      <c r="B859" s="1" t="str">
        <f>HYPERLINK("http://www.ncbi.nlm.nih.gov/pubmed/?term=Vav2", "Vav2")</f>
        <v>Vav2</v>
      </c>
      <c r="C859" s="3">
        <v>2.2810000000000001</v>
      </c>
      <c r="D859" s="3">
        <v>2.8679999999999999</v>
      </c>
      <c r="E859" s="20">
        <v>4.0170000000000003</v>
      </c>
    </row>
    <row r="860" spans="1:5" x14ac:dyDescent="0.25">
      <c r="A860" t="s">
        <v>1251</v>
      </c>
      <c r="B860" s="1" t="str">
        <f>HYPERLINK("http://www.ncbi.nlm.nih.gov/pubmed/?term=Gls2", "Gls2")</f>
        <v>Gls2</v>
      </c>
      <c r="C860" s="12">
        <v>-2.2589999999999999</v>
      </c>
      <c r="D860" s="12">
        <v>-0.27200000000000002</v>
      </c>
      <c r="E860" s="22">
        <v>3.351</v>
      </c>
    </row>
    <row r="861" spans="1:5" x14ac:dyDescent="0.25">
      <c r="A861" t="s">
        <v>1927</v>
      </c>
      <c r="B861" s="1" t="str">
        <f>HYPERLINK("http://www.ncbi.nlm.nih.gov/pubmed/?term=Cgnl1", "Cgnl1")</f>
        <v>Cgnl1</v>
      </c>
      <c r="C861" s="11">
        <v>1.837</v>
      </c>
      <c r="D861" s="22">
        <v>3.0329999999999999</v>
      </c>
      <c r="E861" s="20">
        <v>4.0519999999999996</v>
      </c>
    </row>
    <row r="862" spans="1:5" x14ac:dyDescent="0.25">
      <c r="A862" t="s">
        <v>92</v>
      </c>
      <c r="B862" s="1" t="str">
        <f>HYPERLINK("http://www.ncbi.nlm.nih.gov/pubmed/?term=Paqr3", "Paqr3")</f>
        <v>Paqr3</v>
      </c>
      <c r="C862" s="11">
        <v>1.966</v>
      </c>
      <c r="D862" s="3">
        <v>2.0630000000000002</v>
      </c>
      <c r="E862" s="22">
        <v>3.82</v>
      </c>
    </row>
    <row r="863" spans="1:5" x14ac:dyDescent="0.25">
      <c r="A863" t="s">
        <v>167</v>
      </c>
      <c r="B863" s="1" t="str">
        <f>HYPERLINK("http://www.ncbi.nlm.nih.gov/pubmed/?term=Slc29a3", "Slc29a3")</f>
        <v>Slc29a3</v>
      </c>
      <c r="C863" s="3">
        <v>2.6459999999999999</v>
      </c>
      <c r="D863" s="3">
        <v>2.6909999999999998</v>
      </c>
      <c r="E863" s="22">
        <v>3.9649999999999999</v>
      </c>
    </row>
    <row r="864" spans="1:5" x14ac:dyDescent="0.25">
      <c r="A864" t="s">
        <v>387</v>
      </c>
      <c r="B864" s="1" t="str">
        <f>HYPERLINK("http://www.ncbi.nlm.nih.gov/pubmed/?term=Cyp27a1", "Cyp27a1")</f>
        <v>Cyp27a1</v>
      </c>
      <c r="C864" s="12">
        <v>-0.89129999999999998</v>
      </c>
      <c r="D864" s="11">
        <v>1.7230000000000001</v>
      </c>
      <c r="E864" s="22">
        <v>3.7370000000000001</v>
      </c>
    </row>
    <row r="865" spans="1:5" x14ac:dyDescent="0.25">
      <c r="A865" t="s">
        <v>2033</v>
      </c>
      <c r="B865" s="1" t="str">
        <f>HYPERLINK("http://www.ncbi.nlm.nih.gov/pubmed/?term=Ephx2", "Ephx2")</f>
        <v>Ephx2</v>
      </c>
      <c r="C865" s="3">
        <v>2.4380000000000002</v>
      </c>
      <c r="D865" s="11">
        <v>1.9059999999999999</v>
      </c>
      <c r="E865" s="22">
        <v>3.899</v>
      </c>
    </row>
    <row r="866" spans="1:5" x14ac:dyDescent="0.25">
      <c r="A866" t="s">
        <v>433</v>
      </c>
      <c r="B866" s="1" t="str">
        <f>HYPERLINK("http://www.ncbi.nlm.nih.gov/pubmed/?term=Kcnj3", "Kcnj3")</f>
        <v>Kcnj3</v>
      </c>
      <c r="C866" s="12">
        <v>-4.5</v>
      </c>
      <c r="D866" s="12">
        <v>-0.57720000000000005</v>
      </c>
      <c r="E866" s="22">
        <v>3.3319999999999999</v>
      </c>
    </row>
    <row r="867" spans="1:5" x14ac:dyDescent="0.25">
      <c r="A867" t="s">
        <v>886</v>
      </c>
      <c r="B867" s="1" t="str">
        <f>HYPERLINK("http://www.ncbi.nlm.nih.gov/pubmed/?term=Arc", "Arc")</f>
        <v>Arc</v>
      </c>
      <c r="C867" s="12">
        <v>-0.88300000000000001</v>
      </c>
      <c r="D867" s="3">
        <v>2.6680000000000001</v>
      </c>
      <c r="E867" s="22">
        <v>3.948</v>
      </c>
    </row>
    <row r="868" spans="1:5" x14ac:dyDescent="0.25">
      <c r="A868" t="s">
        <v>1916</v>
      </c>
      <c r="B868" s="1" t="str">
        <f>HYPERLINK("http://www.ncbi.nlm.nih.gov/pubmed/?term=Fam129c", "Fam129c")</f>
        <v>Fam129c</v>
      </c>
      <c r="C868" s="12">
        <v>-0.16739999999999999</v>
      </c>
      <c r="D868" s="3">
        <v>2.8420000000000001</v>
      </c>
      <c r="E868" s="22">
        <v>3.988</v>
      </c>
    </row>
    <row r="869" spans="1:5" x14ac:dyDescent="0.25">
      <c r="A869" t="s">
        <v>660</v>
      </c>
      <c r="B869" s="1" t="str">
        <f>HYPERLINK("http://www.ncbi.nlm.nih.gov/pubmed/?term=Phyhd1", "Phyhd1")</f>
        <v>Phyhd1</v>
      </c>
      <c r="C869" s="12">
        <v>-0.871</v>
      </c>
      <c r="D869" s="12">
        <v>0.70850000000000002</v>
      </c>
      <c r="E869" s="22">
        <v>3.4940000000000002</v>
      </c>
    </row>
    <row r="870" spans="1:5" x14ac:dyDescent="0.25">
      <c r="A870" t="s">
        <v>128</v>
      </c>
      <c r="B870" s="1" t="str">
        <f>HYPERLINK("http://www.ncbi.nlm.nih.gov/pubmed/?term=Ndnl2", "Ndnl2")</f>
        <v>Ndnl2</v>
      </c>
      <c r="C870" s="11">
        <v>1.7110000000000001</v>
      </c>
      <c r="D870" s="3">
        <v>2.0150000000000001</v>
      </c>
      <c r="E870" s="22">
        <v>3.7959999999999998</v>
      </c>
    </row>
    <row r="871" spans="1:5" x14ac:dyDescent="0.25">
      <c r="A871" t="s">
        <v>1282</v>
      </c>
      <c r="B871" s="1" t="str">
        <f>HYPERLINK("http://www.ncbi.nlm.nih.gov/pubmed/?term=Pde4c", "Pde4c")</f>
        <v>Pde4c</v>
      </c>
      <c r="C871" s="12">
        <v>-3.1070000000000002</v>
      </c>
      <c r="D871" s="12">
        <v>-1.1359999999999999</v>
      </c>
      <c r="E871" s="22">
        <v>3.323</v>
      </c>
    </row>
    <row r="872" spans="1:5" x14ac:dyDescent="0.25">
      <c r="A872" t="s">
        <v>968</v>
      </c>
      <c r="B872" s="1" t="str">
        <f>HYPERLINK("http://www.ncbi.nlm.nih.gov/pubmed/?term=Wdfy2", "Wdfy2")</f>
        <v>Wdfy2</v>
      </c>
      <c r="C872" s="3">
        <v>2.3849999999999998</v>
      </c>
      <c r="D872" s="3">
        <v>2.677</v>
      </c>
      <c r="E872" s="22">
        <v>3.9329999999999998</v>
      </c>
    </row>
    <row r="873" spans="1:5" x14ac:dyDescent="0.25">
      <c r="A873" t="s">
        <v>491</v>
      </c>
      <c r="B873" s="1" t="str">
        <f>HYPERLINK("http://www.ncbi.nlm.nih.gov/pubmed/?term=Crnn", "Crnn")</f>
        <v>Crnn</v>
      </c>
      <c r="C873" s="12">
        <v>-2.35</v>
      </c>
      <c r="D873" s="11">
        <v>1.569</v>
      </c>
      <c r="E873" s="22">
        <v>3.6739999999999999</v>
      </c>
    </row>
    <row r="874" spans="1:5" x14ac:dyDescent="0.25">
      <c r="A874" t="s">
        <v>1946</v>
      </c>
      <c r="B874" s="1" t="str">
        <f>HYPERLINK("http://www.ncbi.nlm.nih.gov/pubmed/?term=Mfng", "Mfng")</f>
        <v>Mfng</v>
      </c>
      <c r="C874" s="12">
        <v>-0.40339999999999998</v>
      </c>
      <c r="D874" s="3">
        <v>2.5710000000000002</v>
      </c>
      <c r="E874" s="22">
        <v>3.9009999999999998</v>
      </c>
    </row>
    <row r="875" spans="1:5" x14ac:dyDescent="0.25">
      <c r="A875" t="s">
        <v>673</v>
      </c>
      <c r="B875" s="1" t="str">
        <f>HYPERLINK("http://www.ncbi.nlm.nih.gov/pubmed/?term=Phf15", "Phf15")</f>
        <v>Phf15</v>
      </c>
      <c r="C875" s="3">
        <v>2.3109999999999999</v>
      </c>
      <c r="D875" s="3">
        <v>2.117</v>
      </c>
      <c r="E875" s="22">
        <v>3.8359999999999999</v>
      </c>
    </row>
    <row r="876" spans="1:5" x14ac:dyDescent="0.25">
      <c r="A876" t="s">
        <v>1357</v>
      </c>
      <c r="B876" s="1" t="str">
        <f>HYPERLINK("http://www.ncbi.nlm.nih.gov/pubmed/?term=Grin2d", "Grin2d")</f>
        <v>Grin2d</v>
      </c>
      <c r="C876" s="12">
        <v>-2.004</v>
      </c>
      <c r="D876" s="12">
        <v>0.45179999999999998</v>
      </c>
      <c r="E876" s="22">
        <v>3.4060000000000001</v>
      </c>
    </row>
    <row r="877" spans="1:5" x14ac:dyDescent="0.25">
      <c r="A877" t="s">
        <v>2035</v>
      </c>
      <c r="B877" s="1" t="str">
        <f>HYPERLINK("http://www.ncbi.nlm.nih.gov/pubmed/?term=Slc37a1", "Slc37a1")</f>
        <v>Slc37a1</v>
      </c>
      <c r="C877" s="12">
        <v>-1.3959999999999999</v>
      </c>
      <c r="D877" s="3">
        <v>2.8029999999999999</v>
      </c>
      <c r="E877" s="22">
        <v>3.9489999999999998</v>
      </c>
    </row>
    <row r="878" spans="1:5" x14ac:dyDescent="0.25">
      <c r="A878" t="s">
        <v>173</v>
      </c>
      <c r="B878" s="1" t="str">
        <f>HYPERLINK("http://www.ncbi.nlm.nih.gov/pubmed/?term=Fam122b", "Fam122b")</f>
        <v>Fam122b</v>
      </c>
      <c r="C878" s="3">
        <v>2.2989999999999999</v>
      </c>
      <c r="D878" s="3">
        <v>2.1030000000000002</v>
      </c>
      <c r="E878" s="22">
        <v>3.8180000000000001</v>
      </c>
    </row>
    <row r="879" spans="1:5" x14ac:dyDescent="0.25">
      <c r="A879" t="s">
        <v>1910</v>
      </c>
      <c r="B879" s="1" t="str">
        <f>HYPERLINK("http://www.ncbi.nlm.nih.gov/pubmed/?term=Gpsm3", "Gpsm3")</f>
        <v>Gpsm3</v>
      </c>
      <c r="C879" s="11">
        <v>1.8620000000000001</v>
      </c>
      <c r="D879" s="3">
        <v>2.6160000000000001</v>
      </c>
      <c r="E879" s="22">
        <v>3.8719999999999999</v>
      </c>
    </row>
    <row r="880" spans="1:5" x14ac:dyDescent="0.25">
      <c r="A880" t="s">
        <v>124</v>
      </c>
      <c r="B880" s="1" t="str">
        <f>HYPERLINK("http://www.ncbi.nlm.nih.gov/pubmed/?term=Pard3b", "Pard3b")</f>
        <v>Pard3b</v>
      </c>
      <c r="C880" s="11">
        <v>1.9730000000000001</v>
      </c>
      <c r="D880" s="11">
        <v>1.9870000000000001</v>
      </c>
      <c r="E880" s="22">
        <v>3.7170000000000001</v>
      </c>
    </row>
    <row r="881" spans="1:5" x14ac:dyDescent="0.25">
      <c r="A881" t="s">
        <v>521</v>
      </c>
      <c r="B881" s="1" t="str">
        <f>HYPERLINK("http://www.ncbi.nlm.nih.gov/pubmed/?term=Tuba8", "Tuba8")</f>
        <v>Tuba8</v>
      </c>
      <c r="C881" s="12">
        <v>-2.9329999999999998</v>
      </c>
      <c r="D881" s="12">
        <v>0.91959999999999997</v>
      </c>
      <c r="E881" s="22">
        <v>3.4590000000000001</v>
      </c>
    </row>
    <row r="882" spans="1:5" x14ac:dyDescent="0.25">
      <c r="A882" t="s">
        <v>27</v>
      </c>
      <c r="B882" s="1" t="str">
        <f>HYPERLINK("http://www.ncbi.nlm.nih.gov/pubmed/?term=Aqp3", "Aqp3")</f>
        <v>Aqp3</v>
      </c>
      <c r="C882" s="11">
        <v>1.825</v>
      </c>
      <c r="D882" s="3">
        <v>2.8839999999999999</v>
      </c>
      <c r="E882" s="22">
        <v>3.903</v>
      </c>
    </row>
    <row r="883" spans="1:5" x14ac:dyDescent="0.25">
      <c r="A883" t="s">
        <v>591</v>
      </c>
      <c r="B883" s="1" t="str">
        <f>HYPERLINK("http://www.ncbi.nlm.nih.gov/pubmed/?term=Fam190a", "Fam190a")</f>
        <v>Fam190a</v>
      </c>
      <c r="C883" s="3">
        <v>2.3380000000000001</v>
      </c>
      <c r="D883" s="3">
        <v>2.423</v>
      </c>
      <c r="E883" s="22">
        <v>3.7959999999999998</v>
      </c>
    </row>
    <row r="884" spans="1:5" x14ac:dyDescent="0.25">
      <c r="A884" t="s">
        <v>581</v>
      </c>
      <c r="B884" s="1" t="str">
        <f>HYPERLINK("http://www.ncbi.nlm.nih.gov/pubmed/?term=Adck1", "Adck1")</f>
        <v>Adck1</v>
      </c>
      <c r="C884" s="3">
        <v>2.2200000000000002</v>
      </c>
      <c r="D884" s="3">
        <v>2.6070000000000002</v>
      </c>
      <c r="E884" s="22">
        <v>3.8370000000000002</v>
      </c>
    </row>
    <row r="885" spans="1:5" x14ac:dyDescent="0.25">
      <c r="A885" t="s">
        <v>198</v>
      </c>
      <c r="B885" s="1" t="str">
        <f>HYPERLINK("http://www.ncbi.nlm.nih.gov/pubmed/?term=C530008M17Rik", "C530008M17Rik")</f>
        <v>C530008M17Rik</v>
      </c>
      <c r="C885" s="12">
        <v>-3.5</v>
      </c>
      <c r="D885" s="11">
        <v>1.427</v>
      </c>
      <c r="E885" s="22">
        <v>3.56</v>
      </c>
    </row>
    <row r="886" spans="1:5" x14ac:dyDescent="0.25">
      <c r="A886" t="s">
        <v>1987</v>
      </c>
      <c r="B886" s="1" t="str">
        <f>HYPERLINK("http://www.ncbi.nlm.nih.gov/pubmed/?term=Il12rb1", "Il12rb1")</f>
        <v>Il12rb1</v>
      </c>
      <c r="C886" s="12">
        <v>0.52259999999999995</v>
      </c>
      <c r="D886" s="12">
        <v>0.83809999999999996</v>
      </c>
      <c r="E886" s="22">
        <v>3.423</v>
      </c>
    </row>
    <row r="887" spans="1:5" x14ac:dyDescent="0.25">
      <c r="A887" t="s">
        <v>446</v>
      </c>
      <c r="B887" s="1" t="str">
        <f>HYPERLINK("http://www.ncbi.nlm.nih.gov/pubmed/?term=Shisa9", "Shisa9")</f>
        <v>Shisa9</v>
      </c>
      <c r="C887" s="12">
        <v>-1.3240000000000001</v>
      </c>
      <c r="D887" s="12">
        <v>0.77549999999999997</v>
      </c>
      <c r="E887" s="22">
        <v>3.4049999999999998</v>
      </c>
    </row>
    <row r="888" spans="1:5" x14ac:dyDescent="0.25">
      <c r="A888" t="s">
        <v>976</v>
      </c>
      <c r="B888" s="1" t="str">
        <f>HYPERLINK("http://www.ncbi.nlm.nih.gov/pubmed/?term=Lrrc28", "Lrrc28")</f>
        <v>Lrrc28</v>
      </c>
      <c r="C888" s="3">
        <v>2.1840000000000002</v>
      </c>
      <c r="D888" s="11">
        <v>1.86</v>
      </c>
      <c r="E888" s="22">
        <v>3.7309999999999999</v>
      </c>
    </row>
    <row r="889" spans="1:5" x14ac:dyDescent="0.25">
      <c r="A889" t="s">
        <v>275</v>
      </c>
      <c r="B889" s="1" t="str">
        <f>HYPERLINK("http://www.ncbi.nlm.nih.gov/pubmed/?term=Aim2", "Aim2")</f>
        <v>Aim2</v>
      </c>
      <c r="C889" s="12">
        <v>0.34129999999999999</v>
      </c>
      <c r="D889" s="3">
        <v>2.1709999999999998</v>
      </c>
      <c r="E889" s="22">
        <v>3.7250000000000001</v>
      </c>
    </row>
    <row r="890" spans="1:5" x14ac:dyDescent="0.25">
      <c r="A890" t="s">
        <v>641</v>
      </c>
      <c r="B890" s="1" t="str">
        <f>HYPERLINK("http://www.ncbi.nlm.nih.gov/pubmed/?term=Colec12", "Colec12")</f>
        <v>Colec12</v>
      </c>
      <c r="C890" s="12">
        <v>-0.74650000000000005</v>
      </c>
      <c r="D890" s="3">
        <v>2.02</v>
      </c>
      <c r="E890" s="22">
        <v>3.6859999999999999</v>
      </c>
    </row>
    <row r="891" spans="1:5" x14ac:dyDescent="0.25">
      <c r="A891" t="s">
        <v>823</v>
      </c>
      <c r="B891" s="1" t="str">
        <f>HYPERLINK("http://www.ncbi.nlm.nih.gov/pubmed/?term=Clybl", "Clybl")</f>
        <v>Clybl</v>
      </c>
      <c r="C891" s="3">
        <v>2.2730000000000001</v>
      </c>
      <c r="D891" s="3">
        <v>2.625</v>
      </c>
      <c r="E891" s="22">
        <v>3.8260000000000001</v>
      </c>
    </row>
    <row r="892" spans="1:5" x14ac:dyDescent="0.25">
      <c r="A892" t="s">
        <v>1620</v>
      </c>
      <c r="B892" s="1" t="str">
        <f>HYPERLINK("http://www.ncbi.nlm.nih.gov/pubmed/?term=5830433M19Rik", "5830433M19Rik")</f>
        <v>5830433M19Rik</v>
      </c>
      <c r="C892" s="3">
        <v>2.5369999999999999</v>
      </c>
      <c r="D892" s="3">
        <v>2.3679999999999999</v>
      </c>
      <c r="E892" s="22">
        <v>3.798</v>
      </c>
    </row>
    <row r="893" spans="1:5" x14ac:dyDescent="0.25">
      <c r="A893" t="s">
        <v>1294</v>
      </c>
      <c r="B893" s="1" t="str">
        <f>HYPERLINK("http://www.ncbi.nlm.nih.gov/pubmed/?term=Glt28d2", "Glt28d2")</f>
        <v>Glt28d2</v>
      </c>
      <c r="C893" s="11">
        <v>1.7529999999999999</v>
      </c>
      <c r="D893" s="11">
        <v>1.9</v>
      </c>
      <c r="E893" s="22">
        <v>3.645</v>
      </c>
    </row>
    <row r="894" spans="1:5" x14ac:dyDescent="0.25">
      <c r="A894" t="s">
        <v>418</v>
      </c>
      <c r="B894" s="1" t="str">
        <f>HYPERLINK("http://www.ncbi.nlm.nih.gov/pubmed/?term=Gm962", "Gm962")</f>
        <v>Gm962</v>
      </c>
      <c r="C894" s="3">
        <v>2.4420000000000002</v>
      </c>
      <c r="D894" s="11">
        <v>1.681</v>
      </c>
      <c r="E894" s="22">
        <v>3.7650000000000001</v>
      </c>
    </row>
    <row r="895" spans="1:5" x14ac:dyDescent="0.25">
      <c r="A895" t="s">
        <v>1421</v>
      </c>
      <c r="B895" s="1" t="str">
        <f>HYPERLINK("http://www.ncbi.nlm.nih.gov/pubmed/?term=Uprt", "Uprt")</f>
        <v>Uprt</v>
      </c>
      <c r="C895" s="3">
        <v>2.4449999999999998</v>
      </c>
      <c r="D895" s="3">
        <v>2.1800000000000002</v>
      </c>
      <c r="E895" s="22">
        <v>3.75</v>
      </c>
    </row>
    <row r="896" spans="1:5" x14ac:dyDescent="0.25">
      <c r="A896" t="s">
        <v>842</v>
      </c>
      <c r="B896" s="1" t="str">
        <f>HYPERLINK("http://www.ncbi.nlm.nih.gov/pubmed/?term=P4ha2", "P4ha2")</f>
        <v>P4ha2</v>
      </c>
      <c r="C896" s="12">
        <v>0.94089999999999996</v>
      </c>
      <c r="D896" s="3">
        <v>2.4689999999999999</v>
      </c>
      <c r="E896" s="22">
        <v>3.7490000000000001</v>
      </c>
    </row>
    <row r="897" spans="1:5" x14ac:dyDescent="0.25">
      <c r="A897" t="s">
        <v>1180</v>
      </c>
      <c r="B897" s="1" t="str">
        <f>HYPERLINK("http://www.ncbi.nlm.nih.gov/pubmed/?term=Arhgap30", "Arhgap30")</f>
        <v>Arhgap30</v>
      </c>
      <c r="C897" s="11">
        <v>1.534</v>
      </c>
      <c r="D897" s="12">
        <v>-0.46600000000000003</v>
      </c>
      <c r="E897" s="22">
        <v>3.53</v>
      </c>
    </row>
    <row r="898" spans="1:5" x14ac:dyDescent="0.25">
      <c r="A898" t="s">
        <v>1178</v>
      </c>
      <c r="B898" s="1" t="str">
        <f>HYPERLINK("http://www.ncbi.nlm.nih.gov/pubmed/?term=Ces2e", "Ces2e")</f>
        <v>Ces2e</v>
      </c>
      <c r="C898" s="12">
        <v>-3.1219999999999999</v>
      </c>
      <c r="D898" s="12">
        <v>0.70289999999999997</v>
      </c>
      <c r="E898" s="22">
        <v>3.335</v>
      </c>
    </row>
    <row r="899" spans="1:5" x14ac:dyDescent="0.25">
      <c r="A899" t="s">
        <v>2030</v>
      </c>
      <c r="B899" s="1" t="str">
        <f>HYPERLINK("http://www.ncbi.nlm.nih.gov/pubmed/?term=Tpst2", "Tpst2")</f>
        <v>Tpst2</v>
      </c>
      <c r="C899" s="3">
        <v>2.7330000000000001</v>
      </c>
      <c r="D899" s="3">
        <v>2.5830000000000002</v>
      </c>
      <c r="E899" s="22">
        <v>3.798</v>
      </c>
    </row>
    <row r="900" spans="1:5" x14ac:dyDescent="0.25">
      <c r="A900" t="s">
        <v>1909</v>
      </c>
      <c r="B900" s="1" t="str">
        <f>HYPERLINK("http://www.ncbi.nlm.nih.gov/pubmed/?term=Tcte1", "Tcte1")</f>
        <v>Tcte1</v>
      </c>
      <c r="C900" s="12">
        <v>0.41049999999999998</v>
      </c>
      <c r="D900" s="11">
        <v>1.5960000000000001</v>
      </c>
      <c r="E900" s="22">
        <v>3.5329999999999999</v>
      </c>
    </row>
    <row r="901" spans="1:5" x14ac:dyDescent="0.25">
      <c r="A901" t="s">
        <v>989</v>
      </c>
      <c r="B901" s="1" t="str">
        <f>HYPERLINK("http://www.ncbi.nlm.nih.gov/pubmed/?term=Nrp2", "Nrp2")</f>
        <v>Nrp2</v>
      </c>
      <c r="C901" s="12">
        <v>-2.141</v>
      </c>
      <c r="D901" s="11">
        <v>1.893</v>
      </c>
      <c r="E901" s="22">
        <v>3.5979999999999999</v>
      </c>
    </row>
    <row r="902" spans="1:5" x14ac:dyDescent="0.25">
      <c r="A902" t="s">
        <v>1902</v>
      </c>
      <c r="B902" s="1" t="str">
        <f>HYPERLINK("http://www.ncbi.nlm.nih.gov/pubmed/?term=C2", "C2")</f>
        <v>C2</v>
      </c>
      <c r="C902" s="12">
        <v>-0.90610000000000002</v>
      </c>
      <c r="D902" s="3">
        <v>2.7530000000000001</v>
      </c>
      <c r="E902" s="22">
        <v>3.7959999999999998</v>
      </c>
    </row>
    <row r="903" spans="1:5" x14ac:dyDescent="0.25">
      <c r="A903" t="s">
        <v>1660</v>
      </c>
      <c r="B903" s="1" t="str">
        <f>HYPERLINK("http://www.ncbi.nlm.nih.gov/pubmed/?term=Gcnt4", "Gcnt4")</f>
        <v>Gcnt4</v>
      </c>
      <c r="C903" s="12">
        <v>-1.0029999999999999</v>
      </c>
      <c r="D903" s="11">
        <v>1.611</v>
      </c>
      <c r="E903" s="22">
        <v>3.5310000000000001</v>
      </c>
    </row>
    <row r="904" spans="1:5" x14ac:dyDescent="0.25">
      <c r="A904" t="s">
        <v>727</v>
      </c>
      <c r="B904" s="1" t="str">
        <f>HYPERLINK("http://www.ncbi.nlm.nih.gov/pubmed/?term=Pim2", "Pim2")</f>
        <v>Pim2</v>
      </c>
      <c r="C904" s="12">
        <v>0.33289999999999997</v>
      </c>
      <c r="D904" s="11">
        <v>1.9019999999999999</v>
      </c>
      <c r="E904" s="22">
        <v>3.5960000000000001</v>
      </c>
    </row>
    <row r="905" spans="1:5" x14ac:dyDescent="0.25">
      <c r="A905" t="s">
        <v>1141</v>
      </c>
      <c r="B905" s="1" t="str">
        <f>HYPERLINK("http://www.ncbi.nlm.nih.gov/pubmed/?term=Farp2", "Farp2")</f>
        <v>Farp2</v>
      </c>
      <c r="C905" s="11">
        <v>1.9119999999999999</v>
      </c>
      <c r="D905" s="11">
        <v>1.4079999999999999</v>
      </c>
      <c r="E905" s="22">
        <v>3.597</v>
      </c>
    </row>
    <row r="906" spans="1:5" x14ac:dyDescent="0.25">
      <c r="A906" t="s">
        <v>1923</v>
      </c>
      <c r="B906" s="1" t="str">
        <f>HYPERLINK("http://www.ncbi.nlm.nih.gov/pubmed/?term=Gcnt1", "Gcnt1")</f>
        <v>Gcnt1</v>
      </c>
      <c r="C906" s="12">
        <v>-2.6429999999999998</v>
      </c>
      <c r="D906" s="11">
        <v>1.4770000000000001</v>
      </c>
      <c r="E906" s="22">
        <v>3.492</v>
      </c>
    </row>
    <row r="907" spans="1:5" x14ac:dyDescent="0.25">
      <c r="A907" t="s">
        <v>889</v>
      </c>
      <c r="B907" s="1" t="str">
        <f>HYPERLINK("http://www.ncbi.nlm.nih.gov/pubmed/?term=Rsbn1", "Rsbn1")</f>
        <v>Rsbn1</v>
      </c>
      <c r="C907" s="3">
        <v>2.7320000000000002</v>
      </c>
      <c r="D907" s="3">
        <v>2.6320000000000001</v>
      </c>
      <c r="E907" s="22">
        <v>3.7810000000000001</v>
      </c>
    </row>
    <row r="908" spans="1:5" x14ac:dyDescent="0.25">
      <c r="A908" t="s">
        <v>1218</v>
      </c>
      <c r="B908" s="1" t="str">
        <f>HYPERLINK("http://www.ncbi.nlm.nih.gov/pubmed/?term=Hnf4g", "Hnf4g")</f>
        <v>Hnf4g</v>
      </c>
      <c r="C908" s="12">
        <v>-0.53859999999999997</v>
      </c>
      <c r="D908" s="11">
        <v>1.403</v>
      </c>
      <c r="E908" s="22">
        <v>3.4689999999999999</v>
      </c>
    </row>
    <row r="909" spans="1:5" x14ac:dyDescent="0.25">
      <c r="A909" t="s">
        <v>557</v>
      </c>
      <c r="B909" s="1" t="str">
        <f>HYPERLINK("http://www.ncbi.nlm.nih.gov/pubmed/?term=Dus2l", "Dus2l")</f>
        <v>Dus2l</v>
      </c>
      <c r="C909" s="3">
        <v>2.1480000000000001</v>
      </c>
      <c r="D909" s="3">
        <v>2.3010000000000002</v>
      </c>
      <c r="E909" s="22">
        <v>3.6760000000000002</v>
      </c>
    </row>
    <row r="910" spans="1:5" x14ac:dyDescent="0.25">
      <c r="A910" t="s">
        <v>786</v>
      </c>
      <c r="B910" s="1" t="str">
        <f>HYPERLINK("http://www.ncbi.nlm.nih.gov/pubmed/?term=AU022252", "AU022252")</f>
        <v>AU022252</v>
      </c>
      <c r="C910" s="3">
        <v>2.0430000000000001</v>
      </c>
      <c r="D910" s="11">
        <v>1.417</v>
      </c>
      <c r="E910" s="22">
        <v>3.6080000000000001</v>
      </c>
    </row>
    <row r="911" spans="1:5" x14ac:dyDescent="0.25">
      <c r="A911" t="s">
        <v>162</v>
      </c>
      <c r="B911" s="1" t="str">
        <f>HYPERLINK("http://www.ncbi.nlm.nih.gov/pubmed/?term=9030425E11Rik", "9030425E11Rik")</f>
        <v>9030425E11Rik</v>
      </c>
      <c r="C911" s="12">
        <v>-2.0880000000000001</v>
      </c>
      <c r="D911" s="11">
        <v>1.8029999999999999</v>
      </c>
      <c r="E911" s="22">
        <v>3.548</v>
      </c>
    </row>
    <row r="912" spans="1:5" x14ac:dyDescent="0.25">
      <c r="A912" t="s">
        <v>817</v>
      </c>
      <c r="B912" s="1" t="str">
        <f>HYPERLINK("http://www.ncbi.nlm.nih.gov/pubmed/?term=Tbkbp1", "Tbkbp1")</f>
        <v>Tbkbp1</v>
      </c>
      <c r="C912" s="12">
        <v>-0.91349999999999998</v>
      </c>
      <c r="D912" s="11">
        <v>1.0569999999999999</v>
      </c>
      <c r="E912" s="22">
        <v>3.375</v>
      </c>
    </row>
    <row r="913" spans="1:5" x14ac:dyDescent="0.25">
      <c r="A913" t="s">
        <v>1781</v>
      </c>
      <c r="B913" s="1" t="str">
        <f>HYPERLINK("http://www.ncbi.nlm.nih.gov/pubmed/?term=Tstd1", "Tstd1")</f>
        <v>Tstd1</v>
      </c>
      <c r="C913" s="12">
        <v>-1.47</v>
      </c>
      <c r="D913" s="3">
        <v>2.5379999999999998</v>
      </c>
      <c r="E913" s="22">
        <v>3.7160000000000002</v>
      </c>
    </row>
    <row r="914" spans="1:5" x14ac:dyDescent="0.25">
      <c r="A914" t="s">
        <v>252</v>
      </c>
      <c r="B914" s="1" t="str">
        <f>HYPERLINK("http://www.ncbi.nlm.nih.gov/pubmed/?term=Zc3h6", "Zc3h6")</f>
        <v>Zc3h6</v>
      </c>
      <c r="C914" s="11">
        <v>1.62</v>
      </c>
      <c r="D914" s="11">
        <v>1.794</v>
      </c>
      <c r="E914" s="22">
        <v>3.5430000000000001</v>
      </c>
    </row>
    <row r="915" spans="1:5" x14ac:dyDescent="0.25">
      <c r="A915" t="s">
        <v>83</v>
      </c>
      <c r="B915" s="1" t="str">
        <f>HYPERLINK("http://www.ncbi.nlm.nih.gov/pubmed/?term=Zcchc18", "Zcchc18")</f>
        <v>Zcchc18</v>
      </c>
      <c r="C915" s="12">
        <v>-2.9929999999999999</v>
      </c>
      <c r="D915" s="11">
        <v>1.4350000000000001</v>
      </c>
      <c r="E915" s="22">
        <v>3.4590000000000001</v>
      </c>
    </row>
    <row r="916" spans="1:5" x14ac:dyDescent="0.25">
      <c r="A916" t="s">
        <v>1851</v>
      </c>
      <c r="B916" s="1" t="str">
        <f>HYPERLINK("http://www.ncbi.nlm.nih.gov/pubmed/?term=BC048355", "BC048355")</f>
        <v>BC048355</v>
      </c>
      <c r="C916" s="3">
        <v>2.1259999999999999</v>
      </c>
      <c r="D916" s="11">
        <v>1.3660000000000001</v>
      </c>
      <c r="E916" s="22">
        <v>3.6070000000000002</v>
      </c>
    </row>
    <row r="917" spans="1:5" x14ac:dyDescent="0.25">
      <c r="A917" t="s">
        <v>1786</v>
      </c>
      <c r="B917" s="1" t="str">
        <f>HYPERLINK("http://www.ncbi.nlm.nih.gov/pubmed/?term=Tbc1d8b", "Tbc1d8b")</f>
        <v>Tbc1d8b</v>
      </c>
      <c r="C917" s="3">
        <v>2.7440000000000002</v>
      </c>
      <c r="D917" s="3">
        <v>2.673</v>
      </c>
      <c r="E917" s="22">
        <v>3.7450000000000001</v>
      </c>
    </row>
    <row r="918" spans="1:5" x14ac:dyDescent="0.25">
      <c r="A918" t="s">
        <v>1402</v>
      </c>
      <c r="B918" s="1" t="str">
        <f>HYPERLINK("http://www.ncbi.nlm.nih.gov/pubmed/?term=Snupn", "Snupn")</f>
        <v>Snupn</v>
      </c>
      <c r="C918" s="3">
        <v>2.5779999999999998</v>
      </c>
      <c r="D918" s="3">
        <v>2.6749999999999998</v>
      </c>
      <c r="E918" s="22">
        <v>3.7240000000000002</v>
      </c>
    </row>
    <row r="919" spans="1:5" x14ac:dyDescent="0.25">
      <c r="A919" t="s">
        <v>46</v>
      </c>
      <c r="B919" s="1" t="str">
        <f>HYPERLINK("http://www.ncbi.nlm.nih.gov/pubmed/?term=Wdr44", "Wdr44")</f>
        <v>Wdr44</v>
      </c>
      <c r="C919" s="3">
        <v>2.7109999999999999</v>
      </c>
      <c r="D919" s="3">
        <v>2.3319999999999999</v>
      </c>
      <c r="E919" s="22">
        <v>3.7320000000000002</v>
      </c>
    </row>
    <row r="920" spans="1:5" x14ac:dyDescent="0.25">
      <c r="A920" t="s">
        <v>1226</v>
      </c>
      <c r="B920" s="1" t="str">
        <f>HYPERLINK("http://www.ncbi.nlm.nih.gov/pubmed/?term=Cdh22", "Cdh22")</f>
        <v>Cdh22</v>
      </c>
      <c r="C920" s="12">
        <v>-4.4039999999999999</v>
      </c>
      <c r="D920" s="3">
        <v>2.61</v>
      </c>
      <c r="E920" s="22">
        <v>3.7069999999999999</v>
      </c>
    </row>
    <row r="921" spans="1:5" x14ac:dyDescent="0.25">
      <c r="A921" t="s">
        <v>671</v>
      </c>
      <c r="B921" s="1" t="str">
        <f>HYPERLINK("http://www.ncbi.nlm.nih.gov/pubmed/?term=Stard4", "Stard4")</f>
        <v>Stard4</v>
      </c>
      <c r="C921" s="11">
        <v>1.42</v>
      </c>
      <c r="D921" s="3">
        <v>2.4529999999999998</v>
      </c>
      <c r="E921" s="22">
        <v>3.6659999999999999</v>
      </c>
    </row>
    <row r="922" spans="1:5" x14ac:dyDescent="0.25">
      <c r="A922" t="s">
        <v>1416</v>
      </c>
      <c r="B922" s="1" t="str">
        <f>HYPERLINK("http://www.ncbi.nlm.nih.gov/pubmed/?term=Mboat1", "Mboat1")</f>
        <v>Mboat1</v>
      </c>
      <c r="C922" s="12">
        <v>-0.44529999999999997</v>
      </c>
      <c r="D922" s="3">
        <v>2.629</v>
      </c>
      <c r="E922" s="22">
        <v>3.7029999999999998</v>
      </c>
    </row>
    <row r="923" spans="1:5" x14ac:dyDescent="0.25">
      <c r="A923" t="s">
        <v>1632</v>
      </c>
      <c r="B923" s="1" t="str">
        <f>HYPERLINK("http://www.ncbi.nlm.nih.gov/pubmed/?term=Cib3", "Cib3")</f>
        <v>Cib3</v>
      </c>
      <c r="C923" s="12">
        <v>-4.2359999999999998</v>
      </c>
      <c r="D923" s="3">
        <v>2.0499999999999998</v>
      </c>
      <c r="E923" s="22">
        <v>3.5670000000000002</v>
      </c>
    </row>
    <row r="924" spans="1:5" x14ac:dyDescent="0.25">
      <c r="A924" t="s">
        <v>1450</v>
      </c>
      <c r="B924" s="1" t="str">
        <f>HYPERLINK("http://www.ncbi.nlm.nih.gov/pubmed/?term=Fam188b", "Fam188b")</f>
        <v>Fam188b</v>
      </c>
      <c r="C924" s="3">
        <v>2.2530000000000001</v>
      </c>
      <c r="D924" s="11">
        <v>1.6319999999999999</v>
      </c>
      <c r="E924" s="22">
        <v>3.6110000000000002</v>
      </c>
    </row>
    <row r="925" spans="1:5" x14ac:dyDescent="0.25">
      <c r="A925" t="s">
        <v>1391</v>
      </c>
      <c r="B925" s="1" t="str">
        <f>HYPERLINK("http://www.ncbi.nlm.nih.gov/pubmed/?term=Donson", "Donson")</f>
        <v>Donson</v>
      </c>
      <c r="C925" s="11">
        <v>1.556</v>
      </c>
      <c r="D925" s="3">
        <v>2.593</v>
      </c>
      <c r="E925" s="22">
        <v>3.6859999999999999</v>
      </c>
    </row>
    <row r="926" spans="1:5" x14ac:dyDescent="0.25">
      <c r="A926" t="s">
        <v>535</v>
      </c>
      <c r="B926" s="1" t="str">
        <f>HYPERLINK("http://www.ncbi.nlm.nih.gov/pubmed/?term=Nr1d1", "Nr1d1")</f>
        <v>Nr1d1</v>
      </c>
      <c r="C926" s="11">
        <v>1.1299999999999999</v>
      </c>
      <c r="D926" s="3">
        <v>2.6120000000000001</v>
      </c>
      <c r="E926" s="22">
        <v>3.6890000000000001</v>
      </c>
    </row>
    <row r="927" spans="1:5" x14ac:dyDescent="0.25">
      <c r="A927" t="s">
        <v>1656</v>
      </c>
      <c r="B927" s="1" t="str">
        <f>HYPERLINK("http://www.ncbi.nlm.nih.gov/pubmed/?term=N28178", "N28178")</f>
        <v>N28178</v>
      </c>
      <c r="C927" s="12">
        <v>-3.35</v>
      </c>
      <c r="D927" s="11">
        <v>1.3720000000000001</v>
      </c>
      <c r="E927" s="22">
        <v>3.4</v>
      </c>
    </row>
    <row r="928" spans="1:5" x14ac:dyDescent="0.25">
      <c r="A928" t="s">
        <v>681</v>
      </c>
      <c r="B928" s="1" t="str">
        <f>HYPERLINK("http://www.ncbi.nlm.nih.gov/pubmed/?term=Orai2", "Orai2")</f>
        <v>Orai2</v>
      </c>
      <c r="C928" s="12">
        <v>0.1411</v>
      </c>
      <c r="D928" s="11">
        <v>1.8160000000000001</v>
      </c>
      <c r="E928" s="22">
        <v>3.5009999999999999</v>
      </c>
    </row>
    <row r="929" spans="1:5" x14ac:dyDescent="0.25">
      <c r="A929" t="s">
        <v>788</v>
      </c>
      <c r="B929" s="1" t="str">
        <f>HYPERLINK("http://www.ncbi.nlm.nih.gov/pubmed/?term=Bbc3", "Bbc3")</f>
        <v>Bbc3</v>
      </c>
      <c r="C929" s="3">
        <v>2.4809999999999999</v>
      </c>
      <c r="D929" s="3">
        <v>2.3159999999999998</v>
      </c>
      <c r="E929" s="22">
        <v>3.6549999999999998</v>
      </c>
    </row>
    <row r="930" spans="1:5" x14ac:dyDescent="0.25">
      <c r="A930" t="s">
        <v>1102</v>
      </c>
      <c r="B930" s="1" t="str">
        <f>HYPERLINK("http://www.ncbi.nlm.nih.gov/pubmed/?term=Cr2", "Cr2")</f>
        <v>Cr2</v>
      </c>
      <c r="C930" s="12">
        <v>-3.5329999999999999</v>
      </c>
      <c r="D930" s="3">
        <v>2.552</v>
      </c>
      <c r="E930" s="22">
        <v>3.6709999999999998</v>
      </c>
    </row>
    <row r="931" spans="1:5" x14ac:dyDescent="0.25">
      <c r="A931" t="s">
        <v>512</v>
      </c>
      <c r="B931" s="1" t="str">
        <f>HYPERLINK("http://www.ncbi.nlm.nih.gov/pubmed/?term=Ppp1r16b", "Ppp1r16b")</f>
        <v>Ppp1r16b</v>
      </c>
      <c r="C931" s="3">
        <v>2.665</v>
      </c>
      <c r="D931" s="12">
        <v>0.1789</v>
      </c>
      <c r="E931" s="22">
        <v>3.694</v>
      </c>
    </row>
    <row r="932" spans="1:5" x14ac:dyDescent="0.25">
      <c r="A932" t="s">
        <v>1652</v>
      </c>
      <c r="B932" s="1" t="str">
        <f>HYPERLINK("http://www.ncbi.nlm.nih.gov/pubmed/?term=Chml", "Chml")</f>
        <v>Chml</v>
      </c>
      <c r="C932" s="11">
        <v>1.93</v>
      </c>
      <c r="D932" s="11">
        <v>1.619</v>
      </c>
      <c r="E932" s="22">
        <v>3.5209999999999999</v>
      </c>
    </row>
    <row r="933" spans="1:5" x14ac:dyDescent="0.25">
      <c r="A933" t="s">
        <v>111</v>
      </c>
      <c r="B933" s="1" t="str">
        <f>HYPERLINK("http://www.ncbi.nlm.nih.gov/pubmed/?term=Ankrd29", "Ankrd29")</f>
        <v>Ankrd29</v>
      </c>
      <c r="C933" s="11">
        <v>1.339</v>
      </c>
      <c r="D933" s="11">
        <v>1.087</v>
      </c>
      <c r="E933" s="22">
        <v>3.379</v>
      </c>
    </row>
    <row r="934" spans="1:5" x14ac:dyDescent="0.25">
      <c r="A934" t="s">
        <v>1298</v>
      </c>
      <c r="B934" s="1" t="str">
        <f>HYPERLINK("http://www.ncbi.nlm.nih.gov/pubmed/?term=Gng2", "Gng2")</f>
        <v>Gng2</v>
      </c>
      <c r="C934" s="12">
        <v>0.1993</v>
      </c>
      <c r="D934" s="11">
        <v>1.31</v>
      </c>
      <c r="E934" s="22">
        <v>3.3660000000000001</v>
      </c>
    </row>
    <row r="935" spans="1:5" x14ac:dyDescent="0.25">
      <c r="A935" t="s">
        <v>1586</v>
      </c>
      <c r="B935" s="1" t="str">
        <f>HYPERLINK("http://www.ncbi.nlm.nih.gov/pubmed/?term=St3gal5", "St3gal5")</f>
        <v>St3gal5</v>
      </c>
      <c r="C935" s="11">
        <v>1.1539999999999999</v>
      </c>
      <c r="D935" s="11">
        <v>1.6619999999999999</v>
      </c>
      <c r="E935" s="22">
        <v>3.4449999999999998</v>
      </c>
    </row>
    <row r="936" spans="1:5" x14ac:dyDescent="0.25">
      <c r="A936" t="s">
        <v>450</v>
      </c>
      <c r="B936" s="1" t="str">
        <f>HYPERLINK("http://www.ncbi.nlm.nih.gov/pubmed/?term=A4galt", "A4galt")</f>
        <v>A4galt</v>
      </c>
      <c r="C936" s="12">
        <v>-3.3690000000000002</v>
      </c>
      <c r="D936" s="11">
        <v>1.4770000000000001</v>
      </c>
      <c r="E936" s="22">
        <v>3.4</v>
      </c>
    </row>
    <row r="937" spans="1:5" x14ac:dyDescent="0.25">
      <c r="A937" t="s">
        <v>1347</v>
      </c>
      <c r="B937" s="1" t="str">
        <f>HYPERLINK("http://www.ncbi.nlm.nih.gov/pubmed/?term=Nrxn1", "Nrxn1")</f>
        <v>Nrxn1</v>
      </c>
      <c r="C937" s="12">
        <v>-1.9139999999999999</v>
      </c>
      <c r="D937" s="11">
        <v>1.5580000000000001</v>
      </c>
      <c r="E937" s="22">
        <v>3.4169999999999998</v>
      </c>
    </row>
    <row r="938" spans="1:5" x14ac:dyDescent="0.25">
      <c r="A938" t="s">
        <v>136</v>
      </c>
      <c r="B938" s="1" t="str">
        <f>HYPERLINK("http://www.ncbi.nlm.nih.gov/pubmed/?term=Slc26a2", "Slc26a2")</f>
        <v>Slc26a2</v>
      </c>
      <c r="C938" s="11">
        <v>1.8129999999999999</v>
      </c>
      <c r="D938" s="11">
        <v>1.736</v>
      </c>
      <c r="E938" s="22">
        <v>3.4740000000000002</v>
      </c>
    </row>
    <row r="939" spans="1:5" x14ac:dyDescent="0.25">
      <c r="A939" t="s">
        <v>836</v>
      </c>
      <c r="B939" s="1" t="str">
        <f>HYPERLINK("http://www.ncbi.nlm.nih.gov/pubmed/?term=Rom1", "Rom1")</f>
        <v>Rom1</v>
      </c>
      <c r="C939" s="11">
        <v>1.6180000000000001</v>
      </c>
      <c r="D939" s="3">
        <v>2.0819999999999999</v>
      </c>
      <c r="E939" s="22">
        <v>3.5329999999999999</v>
      </c>
    </row>
    <row r="940" spans="1:5" x14ac:dyDescent="0.25">
      <c r="A940" t="s">
        <v>1394</v>
      </c>
      <c r="B940" s="1" t="str">
        <f>HYPERLINK("http://www.ncbi.nlm.nih.gov/pubmed/?term=Dnm3", "Dnm3")</f>
        <v>Dnm3</v>
      </c>
      <c r="C940" s="11">
        <v>1.5640000000000001</v>
      </c>
      <c r="D940" s="11">
        <v>1.84</v>
      </c>
      <c r="E940" s="22">
        <v>3.476</v>
      </c>
    </row>
    <row r="941" spans="1:5" x14ac:dyDescent="0.25">
      <c r="A941" t="s">
        <v>2029</v>
      </c>
      <c r="B941" s="1" t="str">
        <f>HYPERLINK("http://www.ncbi.nlm.nih.gov/pubmed/?term=Amph", "Amph")</f>
        <v>Amph</v>
      </c>
      <c r="C941" s="12">
        <v>-1.9039999999999999</v>
      </c>
      <c r="D941" s="3">
        <v>2.2519999999999998</v>
      </c>
      <c r="E941" s="22">
        <v>3.5659999999999998</v>
      </c>
    </row>
    <row r="942" spans="1:5" x14ac:dyDescent="0.25">
      <c r="A942" t="s">
        <v>1721</v>
      </c>
      <c r="B942" s="1" t="str">
        <f>HYPERLINK("http://www.ncbi.nlm.nih.gov/pubmed/?term=Ttll3", "Ttll3")</f>
        <v>Ttll3</v>
      </c>
      <c r="C942" s="12">
        <v>-0.48959999999999998</v>
      </c>
      <c r="D942" s="11">
        <v>1.4610000000000001</v>
      </c>
      <c r="E942" s="22">
        <v>3.38</v>
      </c>
    </row>
    <row r="943" spans="1:5" x14ac:dyDescent="0.25">
      <c r="A943" t="s">
        <v>20</v>
      </c>
      <c r="B943" s="1" t="str">
        <f>HYPERLINK("http://www.ncbi.nlm.nih.gov/pubmed/?term=Fam55b", "Fam55b")</f>
        <v>Fam55b</v>
      </c>
      <c r="C943" s="12">
        <v>-4.5919999999999996</v>
      </c>
      <c r="D943" s="11">
        <v>1.363</v>
      </c>
      <c r="E943" s="22">
        <v>3.355</v>
      </c>
    </row>
    <row r="944" spans="1:5" x14ac:dyDescent="0.25">
      <c r="A944" t="s">
        <v>680</v>
      </c>
      <c r="B944" s="1" t="str">
        <f>HYPERLINK("http://www.ncbi.nlm.nih.gov/pubmed/?term=Dnahc9", "Dnahc9")</f>
        <v>Dnahc9</v>
      </c>
      <c r="C944" s="3">
        <v>2.3410000000000002</v>
      </c>
      <c r="D944" s="11">
        <v>1.6579999999999999</v>
      </c>
      <c r="E944" s="22">
        <v>3.5779999999999998</v>
      </c>
    </row>
    <row r="945" spans="1:5" x14ac:dyDescent="0.25">
      <c r="A945" t="s">
        <v>1131</v>
      </c>
      <c r="B945" s="1" t="str">
        <f>HYPERLINK("http://www.ncbi.nlm.nih.gov/pubmed/?term=Itgal", "Itgal")</f>
        <v>Itgal</v>
      </c>
      <c r="C945" s="11">
        <v>1.873</v>
      </c>
      <c r="D945" s="11">
        <v>1.946</v>
      </c>
      <c r="E945" s="22">
        <v>3.484</v>
      </c>
    </row>
    <row r="946" spans="1:5" x14ac:dyDescent="0.25">
      <c r="A946" t="s">
        <v>1570</v>
      </c>
      <c r="B946" s="1" t="str">
        <f>HYPERLINK("http://www.ncbi.nlm.nih.gov/pubmed/?term=Akr1c13", "Akr1c13")</f>
        <v>Akr1c13</v>
      </c>
      <c r="C946" s="12">
        <v>-1.03</v>
      </c>
      <c r="D946" s="3">
        <v>2.4209999999999998</v>
      </c>
      <c r="E946" s="22">
        <v>3.5920000000000001</v>
      </c>
    </row>
    <row r="947" spans="1:5" x14ac:dyDescent="0.25">
      <c r="A947" t="s">
        <v>877</v>
      </c>
      <c r="B947" s="1" t="str">
        <f>HYPERLINK("http://www.ncbi.nlm.nih.gov/pubmed/?term=Sncb", "Sncb")</f>
        <v>Sncb</v>
      </c>
      <c r="C947" s="12">
        <v>-4.2549999999999999</v>
      </c>
      <c r="D947" s="3">
        <v>2.2280000000000002</v>
      </c>
      <c r="E947" s="22">
        <v>3.5470000000000002</v>
      </c>
    </row>
    <row r="948" spans="1:5" x14ac:dyDescent="0.25">
      <c r="A948" t="s">
        <v>1162</v>
      </c>
      <c r="B948" s="1" t="str">
        <f>HYPERLINK("http://www.ncbi.nlm.nih.gov/pubmed/?term=D730039F16Rik", "D730039F16Rik")</f>
        <v>D730039F16Rik</v>
      </c>
      <c r="C948" s="12">
        <v>-1.1890000000000001</v>
      </c>
      <c r="D948" s="3">
        <v>2.3879999999999999</v>
      </c>
      <c r="E948" s="22">
        <v>3.5680000000000001</v>
      </c>
    </row>
    <row r="949" spans="1:5" x14ac:dyDescent="0.25">
      <c r="A949" t="s">
        <v>2046</v>
      </c>
      <c r="B949" s="1" t="str">
        <f>HYPERLINK("http://www.ncbi.nlm.nih.gov/pubmed/?term=Pla2g3", "Pla2g3")</f>
        <v>Pla2g3</v>
      </c>
      <c r="C949" s="12">
        <v>-1.3720000000000001</v>
      </c>
      <c r="D949" s="11">
        <v>1.534</v>
      </c>
      <c r="E949" s="22">
        <v>3.37</v>
      </c>
    </row>
    <row r="950" spans="1:5" x14ac:dyDescent="0.25">
      <c r="A950" t="s">
        <v>550</v>
      </c>
      <c r="B950" s="1" t="str">
        <f>HYPERLINK("http://www.ncbi.nlm.nih.gov/pubmed/?term=2310008H04Rik", "2310008H04Rik")</f>
        <v>2310008H04Rik</v>
      </c>
      <c r="C950" s="3">
        <v>2.2349999999999999</v>
      </c>
      <c r="D950" s="3">
        <v>2.3839999999999999</v>
      </c>
      <c r="E950" s="22">
        <v>3.5259999999999998</v>
      </c>
    </row>
    <row r="951" spans="1:5" x14ac:dyDescent="0.25">
      <c r="A951" t="s">
        <v>444</v>
      </c>
      <c r="B951" s="1" t="str">
        <f>HYPERLINK("http://www.ncbi.nlm.nih.gov/pubmed/?term=Smpdl3b", "Smpdl3b")</f>
        <v>Smpdl3b</v>
      </c>
      <c r="C951" s="12">
        <v>-1.327</v>
      </c>
      <c r="D951" s="11">
        <v>1.591</v>
      </c>
      <c r="E951" s="22">
        <v>3.3420000000000001</v>
      </c>
    </row>
    <row r="952" spans="1:5" x14ac:dyDescent="0.25">
      <c r="A952" t="s">
        <v>946</v>
      </c>
      <c r="B952" s="1" t="str">
        <f>HYPERLINK("http://www.ncbi.nlm.nih.gov/pubmed/?term=Optc", "Optc")</f>
        <v>Optc</v>
      </c>
      <c r="C952" s="12">
        <v>-1.718</v>
      </c>
      <c r="D952" s="3">
        <v>2.0169999999999999</v>
      </c>
      <c r="E952" s="22">
        <v>3.44</v>
      </c>
    </row>
    <row r="953" spans="1:5" x14ac:dyDescent="0.25">
      <c r="A953" t="s">
        <v>130</v>
      </c>
      <c r="B953" s="1" t="str">
        <f>HYPERLINK("http://www.ncbi.nlm.nih.gov/pubmed/?term=Sdsl", "Sdsl")</f>
        <v>Sdsl</v>
      </c>
      <c r="C953" s="11">
        <v>1.821</v>
      </c>
      <c r="D953" s="12">
        <v>-1.6950000000000001</v>
      </c>
      <c r="E953" s="22">
        <v>3.359</v>
      </c>
    </row>
    <row r="954" spans="1:5" x14ac:dyDescent="0.25">
      <c r="A954" t="s">
        <v>1027</v>
      </c>
      <c r="B954" s="1" t="str">
        <f>HYPERLINK("http://www.ncbi.nlm.nih.gov/pubmed/?term=Bdkrb2", "Bdkrb2")</f>
        <v>Bdkrb2</v>
      </c>
      <c r="C954" s="11">
        <v>1.4219999999999999</v>
      </c>
      <c r="D954" s="3">
        <v>2.3879999999999999</v>
      </c>
      <c r="E954" s="22">
        <v>3.488</v>
      </c>
    </row>
    <row r="955" spans="1:5" x14ac:dyDescent="0.25">
      <c r="A955" t="s">
        <v>711</v>
      </c>
      <c r="B955" s="1" t="str">
        <f>HYPERLINK("http://www.ncbi.nlm.nih.gov/pubmed/?term=Creld1", "Creld1")</f>
        <v>Creld1</v>
      </c>
      <c r="C955" s="12">
        <v>-0.29260000000000003</v>
      </c>
      <c r="D955" s="3">
        <v>2.0030000000000001</v>
      </c>
      <c r="E955" s="22">
        <v>3.3980000000000001</v>
      </c>
    </row>
    <row r="956" spans="1:5" x14ac:dyDescent="0.25">
      <c r="A956" t="s">
        <v>565</v>
      </c>
      <c r="B956" s="1" t="str">
        <f>HYPERLINK("http://www.ncbi.nlm.nih.gov/pubmed/?term=Galnt4", "Galnt4")</f>
        <v>Galnt4</v>
      </c>
      <c r="C956" s="11">
        <v>1.6140000000000001</v>
      </c>
      <c r="D956" s="3">
        <v>2.1179999999999999</v>
      </c>
      <c r="E956" s="22">
        <v>3.42</v>
      </c>
    </row>
    <row r="957" spans="1:5" x14ac:dyDescent="0.25">
      <c r="A957" t="s">
        <v>918</v>
      </c>
      <c r="B957" s="1" t="str">
        <f>HYPERLINK("http://www.ncbi.nlm.nih.gov/pubmed/?term=Ciita", "Ciita")</f>
        <v>Ciita</v>
      </c>
      <c r="C957" s="11">
        <v>1.877</v>
      </c>
      <c r="D957" s="11">
        <v>1.6779999999999999</v>
      </c>
      <c r="E957" s="22">
        <v>3.363</v>
      </c>
    </row>
    <row r="958" spans="1:5" x14ac:dyDescent="0.25">
      <c r="A958" t="s">
        <v>1840</v>
      </c>
      <c r="B958" s="1" t="str">
        <f>HYPERLINK("http://www.ncbi.nlm.nih.gov/pubmed/?term=Myl7", "Myl7")</f>
        <v>Myl7</v>
      </c>
      <c r="C958" s="12">
        <v>-2.0179999999999998</v>
      </c>
      <c r="D958" s="3">
        <v>2.0539999999999998</v>
      </c>
      <c r="E958" s="22">
        <v>3.391</v>
      </c>
    </row>
    <row r="959" spans="1:5" x14ac:dyDescent="0.25">
      <c r="A959" t="s">
        <v>1281</v>
      </c>
      <c r="B959" s="1" t="str">
        <f>HYPERLINK("http://www.ncbi.nlm.nih.gov/pubmed/?term=Ap3m2", "Ap3m2")</f>
        <v>Ap3m2</v>
      </c>
      <c r="C959" s="11">
        <v>1.6870000000000001</v>
      </c>
      <c r="D959" s="3">
        <v>2.4500000000000002</v>
      </c>
      <c r="E959" s="22">
        <v>3.46</v>
      </c>
    </row>
    <row r="960" spans="1:5" x14ac:dyDescent="0.25">
      <c r="A960" t="s">
        <v>228</v>
      </c>
      <c r="B960" s="1" t="str">
        <f>HYPERLINK("http://www.ncbi.nlm.nih.gov/pubmed/?term=Paqr7", "Paqr7")</f>
        <v>Paqr7</v>
      </c>
      <c r="C960" s="3">
        <v>2.4540000000000002</v>
      </c>
      <c r="D960" s="11">
        <v>1.8080000000000001</v>
      </c>
      <c r="E960" s="22">
        <v>3.46</v>
      </c>
    </row>
    <row r="961" spans="1:5" x14ac:dyDescent="0.25">
      <c r="A961" t="s">
        <v>415</v>
      </c>
      <c r="B961" s="1" t="str">
        <f>HYPERLINK("http://www.ncbi.nlm.nih.gov/pubmed/?term=AI987944", "AI987944")</f>
        <v>AI987944</v>
      </c>
      <c r="C961" s="11">
        <v>1.9430000000000001</v>
      </c>
      <c r="D961" s="11">
        <v>1.881</v>
      </c>
      <c r="E961" s="22">
        <v>3.3279999999999998</v>
      </c>
    </row>
    <row r="962" spans="1:5" x14ac:dyDescent="0.25">
      <c r="A962" t="s">
        <v>1640</v>
      </c>
      <c r="B962" s="1" t="str">
        <f>HYPERLINK("http://www.ncbi.nlm.nih.gov/pubmed/?term=Mn1", "Mn1")</f>
        <v>Mn1</v>
      </c>
      <c r="C962" s="12">
        <v>-0.5232</v>
      </c>
      <c r="D962" s="3">
        <v>2.2719999999999998</v>
      </c>
      <c r="E962" s="22">
        <v>3.387</v>
      </c>
    </row>
    <row r="963" spans="1:5" x14ac:dyDescent="0.25">
      <c r="A963" t="s">
        <v>2063</v>
      </c>
      <c r="B963" s="1" t="str">
        <f>HYPERLINK("http://www.ncbi.nlm.nih.gov/pubmed/?term=Kif4", "Kif4")</f>
        <v>Kif4</v>
      </c>
      <c r="C963" s="3">
        <v>2.1680000000000001</v>
      </c>
      <c r="D963" s="11">
        <v>1.2649999999999999</v>
      </c>
      <c r="E963" s="22">
        <v>3.3420000000000001</v>
      </c>
    </row>
    <row r="964" spans="1:5" x14ac:dyDescent="0.25">
      <c r="A964" t="s">
        <v>934</v>
      </c>
      <c r="B964" s="1" t="str">
        <f>HYPERLINK("http://www.ncbi.nlm.nih.gov/pubmed/?term=Rel", "Rel")</f>
        <v>Rel</v>
      </c>
      <c r="C964" s="3">
        <v>2.2469999999999999</v>
      </c>
      <c r="D964" s="11">
        <v>1.6180000000000001</v>
      </c>
      <c r="E964" s="22">
        <v>3.3290000000000002</v>
      </c>
    </row>
    <row r="965" spans="1:5" x14ac:dyDescent="0.25">
      <c r="A965" t="s">
        <v>589</v>
      </c>
      <c r="B965" s="1" t="str">
        <f>HYPERLINK("http://www.ncbi.nlm.nih.gov/pubmed/?term=2310033E01Rik", "2310033E01Rik")</f>
        <v>2310033E01Rik</v>
      </c>
      <c r="C965" s="11">
        <v>1.758</v>
      </c>
      <c r="D965" s="3">
        <v>2.3140000000000001</v>
      </c>
      <c r="E965" s="22">
        <v>3.3370000000000002</v>
      </c>
    </row>
  </sheetData>
  <autoFilter ref="A1:E96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cTEC</vt:lpstr>
      <vt:lpstr>immature_mTEC</vt:lpstr>
      <vt:lpstr>Aire_negative_mature_mTEC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stephens</cp:lastModifiedBy>
  <dcterms:created xsi:type="dcterms:W3CDTF">2013-04-13T19:16:12Z</dcterms:created>
  <dcterms:modified xsi:type="dcterms:W3CDTF">2014-08-15T16:56:44Z</dcterms:modified>
</cp:coreProperties>
</file>