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90" yWindow="585" windowWidth="28455" windowHeight="10935"/>
  </bookViews>
  <sheets>
    <sheet name="pathways" sheetId="1" r:id="rId1"/>
    <sheet name="mmu05200" sheetId="2" r:id="rId2"/>
    <sheet name="mmu05203" sheetId="3" r:id="rId3"/>
    <sheet name="mmu04920" sheetId="4" r:id="rId4"/>
    <sheet name="mmu00071" sheetId="5" r:id="rId5"/>
    <sheet name="mmu04640" sheetId="6" r:id="rId6"/>
    <sheet name="mmu04370" sheetId="7" r:id="rId7"/>
    <sheet name="mmu00460" sheetId="8" r:id="rId8"/>
    <sheet name="mmu05219" sheetId="9" r:id="rId9"/>
    <sheet name="mmu05212" sheetId="10" r:id="rId10"/>
    <sheet name="mmu05211" sheetId="11" r:id="rId11"/>
    <sheet name="mmu05210" sheetId="12" r:id="rId12"/>
    <sheet name="mmu05214" sheetId="13" r:id="rId13"/>
    <sheet name="mmu00750" sheetId="14" r:id="rId14"/>
    <sheet name="mmu00900" sheetId="15" r:id="rId15"/>
    <sheet name="mmu04930" sheetId="16" r:id="rId16"/>
    <sheet name="mmu04672" sheetId="17" r:id="rId17"/>
    <sheet name="mmu05164" sheetId="18" r:id="rId18"/>
    <sheet name="mmu04670" sheetId="19" r:id="rId19"/>
    <sheet name="mmu05166" sheetId="20" r:id="rId20"/>
    <sheet name="mmu05161" sheetId="21" r:id="rId21"/>
    <sheet name="mmu05160" sheetId="22" r:id="rId22"/>
    <sheet name="mmu05162" sheetId="23" r:id="rId23"/>
    <sheet name="mmu05169" sheetId="24" r:id="rId24"/>
    <sheet name="mmu00062" sheetId="25" r:id="rId25"/>
    <sheet name="mmu04070" sheetId="26" r:id="rId26"/>
    <sheet name="mmu00512" sheetId="27" r:id="rId27"/>
    <sheet name="mmu00340" sheetId="28" r:id="rId28"/>
    <sheet name="mmu00510" sheetId="29" r:id="rId29"/>
    <sheet name="mmu05168" sheetId="30" r:id="rId30"/>
    <sheet name="mmu05020" sheetId="31" r:id="rId31"/>
    <sheet name="mmu04512" sheetId="32" r:id="rId32"/>
    <sheet name="mmu04510" sheetId="33" r:id="rId33"/>
    <sheet name="mmu05222" sheetId="34" r:id="rId34"/>
    <sheet name="mmu05220" sheetId="35" r:id="rId35"/>
    <sheet name="mmu04514" sheetId="36" r:id="rId36"/>
    <sheet name="mmu00603" sheetId="37" r:id="rId37"/>
    <sheet name="mmu00600" sheetId="38" r:id="rId38"/>
    <sheet name="mmu00052" sheetId="39" r:id="rId39"/>
    <sheet name="mmu04664" sheetId="40" r:id="rId40"/>
    <sheet name="mmu00280" sheetId="41" r:id="rId41"/>
    <sheet name="mmu04660" sheetId="42" r:id="rId42"/>
    <sheet name="mmu04662" sheetId="43" r:id="rId43"/>
    <sheet name="mmu04940" sheetId="44" r:id="rId44"/>
    <sheet name="mmu00520" sheetId="45" r:id="rId45"/>
    <sheet name="mmu04062" sheetId="46" r:id="rId46"/>
    <sheet name="mmu04060" sheetId="47" r:id="rId47"/>
    <sheet name="mmu04210" sheetId="48" r:id="rId48"/>
    <sheet name="mmu04066" sheetId="49" r:id="rId49"/>
    <sheet name="mmu04064" sheetId="50" r:id="rId50"/>
    <sheet name="mmu04724" sheetId="51" r:id="rId51"/>
    <sheet name="mmu04725" sheetId="52" r:id="rId52"/>
    <sheet name="mmu04727" sheetId="53" r:id="rId53"/>
    <sheet name="mmu04720" sheetId="54" r:id="rId54"/>
    <sheet name="mmu05032" sheetId="55" r:id="rId55"/>
    <sheet name="mmu04722" sheetId="56" r:id="rId56"/>
    <sheet name="mmu05330" sheetId="57" r:id="rId57"/>
    <sheet name="mmu05332" sheetId="58" r:id="rId58"/>
    <sheet name="mmu04728" sheetId="59" r:id="rId59"/>
    <sheet name="mmu04520" sheetId="60" r:id="rId60"/>
    <sheet name="mmu00630" sheetId="61" r:id="rId61"/>
    <sheet name="mmu03050" sheetId="62" r:id="rId62"/>
    <sheet name="mmu04810" sheetId="63" r:id="rId63"/>
    <sheet name="mmu04115" sheetId="64" r:id="rId64"/>
    <sheet name="mmu04612" sheetId="65" r:id="rId65"/>
    <sheet name="mmu04320" sheetId="66" r:id="rId66"/>
    <sheet name="mmu05340" sheetId="67" r:id="rId67"/>
    <sheet name="mmu04530" sheetId="68" r:id="rId68"/>
    <sheet name="mmu05323" sheetId="69" r:id="rId69"/>
    <sheet name="mmu05320" sheetId="70" r:id="rId70"/>
    <sheet name="mmu00260" sheetId="71" r:id="rId71"/>
    <sheet name="mmu00620" sheetId="72" r:id="rId72"/>
    <sheet name="mmu04961" sheetId="73" r:id="rId73"/>
    <sheet name="mmu04964" sheetId="74" r:id="rId74"/>
    <sheet name="mmu00330" sheetId="75" r:id="rId75"/>
    <sheet name="mmu05134" sheetId="76" r:id="rId76"/>
    <sheet name="mmu05133" sheetId="77" r:id="rId77"/>
    <sheet name="mmu04330" sheetId="78" r:id="rId78"/>
    <sheet name="mmu05310" sheetId="79" r:id="rId79"/>
    <sheet name="mmu04971" sheetId="80" r:id="rId80"/>
    <sheet name="mmu04970" sheetId="81" r:id="rId81"/>
    <sheet name="mmu04972" sheetId="82" r:id="rId82"/>
    <sheet name="mmu04380" sheetId="83" r:id="rId83"/>
    <sheet name="mmu04978" sheetId="84" r:id="rId84"/>
    <sheet name="mmu00410" sheetId="85" r:id="rId85"/>
    <sheet name="mmu04630" sheetId="86" r:id="rId86"/>
    <sheet name="mmu05416" sheetId="87" r:id="rId87"/>
    <sheet name="mmu00380" sheetId="88" r:id="rId88"/>
    <sheet name="mmu05031" sheetId="89" r:id="rId89"/>
    <sheet name="mmu05143" sheetId="90" r:id="rId90"/>
    <sheet name="mmu00480" sheetId="91" r:id="rId91"/>
    <sheet name="mmu00640" sheetId="92" r:id="rId92"/>
    <sheet name="mmu04621" sheetId="93" r:id="rId93"/>
    <sheet name="mmu04620" sheetId="94" r:id="rId94"/>
    <sheet name="mmu04623" sheetId="95" r:id="rId95"/>
    <sheet name="mmu04622" sheetId="96" r:id="rId96"/>
    <sheet name="mmu05150" sheetId="97" r:id="rId97"/>
    <sheet name="mmu05152" sheetId="98" r:id="rId98"/>
    <sheet name="mmu04020" sheetId="99" r:id="rId99"/>
    <sheet name="mmu04142" sheetId="100" r:id="rId100"/>
    <sheet name="mmu04144" sheetId="101" r:id="rId101"/>
    <sheet name="mmu00010" sheetId="102" r:id="rId102"/>
    <sheet name="mmu00564" sheetId="103" r:id="rId103"/>
    <sheet name="mmu00565" sheetId="104" r:id="rId104"/>
    <sheet name="mmu00562" sheetId="105" r:id="rId105"/>
    <sheet name="mmu04666" sheetId="106" r:id="rId106"/>
    <sheet name="mmu04012" sheetId="107" r:id="rId107"/>
    <sheet name="mmu04916" sheetId="108" r:id="rId108"/>
    <sheet name="mmu04010" sheetId="109" r:id="rId109"/>
    <sheet name="mmu04912" sheetId="110" r:id="rId110"/>
    <sheet name="mmu04910" sheetId="111" r:id="rId111"/>
    <sheet name="mmu05146" sheetId="112" r:id="rId112"/>
    <sheet name="mmu05145" sheetId="113" r:id="rId113"/>
    <sheet name="mmu05144" sheetId="114" r:id="rId114"/>
    <sheet name="mmu04650" sheetId="115" r:id="rId115"/>
    <sheet name="mmu05142" sheetId="116" r:id="rId116"/>
    <sheet name="mmu05140" sheetId="117" r:id="rId117"/>
    <sheet name="mmu00360" sheetId="118" r:id="rId118"/>
    <sheet name="mmu04360" sheetId="119" r:id="rId119"/>
    <sheet name="mmu04713" sheetId="120" r:id="rId120"/>
  </sheets>
  <calcPr calcId="145621"/>
</workbook>
</file>

<file path=xl/calcChain.xml><?xml version="1.0" encoding="utf-8"?>
<calcChain xmlns="http://schemas.openxmlformats.org/spreadsheetml/2006/main">
  <c r="F5" i="67" l="1"/>
  <c r="F32" i="120" l="1"/>
  <c r="F31" i="120"/>
  <c r="F30" i="120"/>
  <c r="F29" i="120"/>
  <c r="F28" i="120"/>
  <c r="F27" i="120"/>
  <c r="F26" i="120"/>
  <c r="F25" i="120"/>
  <c r="F24" i="120"/>
  <c r="F23" i="120"/>
  <c r="F22" i="120"/>
  <c r="F21" i="120"/>
  <c r="F20" i="120"/>
  <c r="F19" i="120"/>
  <c r="F18" i="120"/>
  <c r="F17" i="120"/>
  <c r="F16" i="120"/>
  <c r="F15" i="120"/>
  <c r="F14" i="120"/>
  <c r="F13" i="120"/>
  <c r="F12" i="120"/>
  <c r="F11" i="120"/>
  <c r="F10" i="120"/>
  <c r="F9" i="120"/>
  <c r="F8" i="120"/>
  <c r="F7" i="120"/>
  <c r="F6" i="120"/>
  <c r="F5" i="120"/>
  <c r="A1" i="120"/>
  <c r="F29" i="119"/>
  <c r="F28" i="119"/>
  <c r="F27" i="119"/>
  <c r="F26" i="119"/>
  <c r="F25" i="119"/>
  <c r="F24" i="119"/>
  <c r="F23" i="119"/>
  <c r="F22" i="119"/>
  <c r="F21" i="119"/>
  <c r="F20" i="119"/>
  <c r="F19" i="119"/>
  <c r="F18" i="119"/>
  <c r="F17" i="119"/>
  <c r="F16" i="119"/>
  <c r="F15" i="119"/>
  <c r="F14" i="119"/>
  <c r="F13" i="119"/>
  <c r="F12" i="119"/>
  <c r="F11" i="119"/>
  <c r="F10" i="119"/>
  <c r="F9" i="119"/>
  <c r="F8" i="119"/>
  <c r="F7" i="119"/>
  <c r="F6" i="119"/>
  <c r="F5" i="119"/>
  <c r="A1" i="119"/>
  <c r="F10" i="118"/>
  <c r="F9" i="118"/>
  <c r="F8" i="118"/>
  <c r="F7" i="118"/>
  <c r="F6" i="118"/>
  <c r="F5" i="118"/>
  <c r="A1" i="118"/>
  <c r="F38" i="117"/>
  <c r="F37" i="117"/>
  <c r="F36" i="117"/>
  <c r="F35" i="117"/>
  <c r="F34" i="117"/>
  <c r="F33" i="117"/>
  <c r="F32" i="117"/>
  <c r="F31" i="117"/>
  <c r="F30" i="117"/>
  <c r="F29" i="117"/>
  <c r="F28" i="117"/>
  <c r="F27" i="117"/>
  <c r="F26" i="117"/>
  <c r="F25" i="117"/>
  <c r="F24" i="117"/>
  <c r="F23" i="117"/>
  <c r="F22" i="117"/>
  <c r="F21" i="117"/>
  <c r="F20" i="117"/>
  <c r="F19" i="117"/>
  <c r="F18" i="117"/>
  <c r="F17" i="117"/>
  <c r="F16" i="117"/>
  <c r="F15" i="117"/>
  <c r="F14" i="117"/>
  <c r="F13" i="117"/>
  <c r="F12" i="117"/>
  <c r="F11" i="117"/>
  <c r="F10" i="117"/>
  <c r="F9" i="117"/>
  <c r="F8" i="117"/>
  <c r="F7" i="117"/>
  <c r="F6" i="117"/>
  <c r="F5" i="117"/>
  <c r="A1" i="117"/>
  <c r="F48" i="116"/>
  <c r="F47" i="116"/>
  <c r="F46" i="116"/>
  <c r="F45" i="116"/>
  <c r="F44" i="116"/>
  <c r="F43" i="116"/>
  <c r="F42" i="116"/>
  <c r="F41" i="116"/>
  <c r="F40" i="116"/>
  <c r="F39" i="116"/>
  <c r="F38" i="116"/>
  <c r="F37" i="116"/>
  <c r="F36" i="116"/>
  <c r="F35" i="116"/>
  <c r="F34" i="116"/>
  <c r="F33" i="116"/>
  <c r="F32" i="116"/>
  <c r="F31" i="116"/>
  <c r="F30" i="116"/>
  <c r="F29" i="116"/>
  <c r="F28" i="116"/>
  <c r="F27" i="116"/>
  <c r="F26" i="116"/>
  <c r="F25" i="116"/>
  <c r="F24" i="116"/>
  <c r="F23" i="116"/>
  <c r="F22" i="116"/>
  <c r="F21" i="116"/>
  <c r="F20" i="116"/>
  <c r="F19" i="116"/>
  <c r="F18" i="116"/>
  <c r="F17" i="116"/>
  <c r="F16" i="116"/>
  <c r="F15" i="116"/>
  <c r="F14" i="116"/>
  <c r="F13" i="116"/>
  <c r="F12" i="116"/>
  <c r="F11" i="116"/>
  <c r="F10" i="116"/>
  <c r="F9" i="116"/>
  <c r="F8" i="116"/>
  <c r="F7" i="116"/>
  <c r="F6" i="116"/>
  <c r="F5" i="116"/>
  <c r="A1" i="116"/>
  <c r="F44" i="115"/>
  <c r="F43" i="115"/>
  <c r="F42" i="115"/>
  <c r="F41" i="115"/>
  <c r="F40" i="115"/>
  <c r="F39" i="115"/>
  <c r="F38" i="115"/>
  <c r="F37" i="115"/>
  <c r="F36" i="115"/>
  <c r="F35" i="115"/>
  <c r="F34" i="115"/>
  <c r="F33" i="115"/>
  <c r="F32" i="115"/>
  <c r="F31" i="115"/>
  <c r="F30" i="115"/>
  <c r="F29" i="115"/>
  <c r="F28" i="115"/>
  <c r="F27" i="115"/>
  <c r="F26" i="115"/>
  <c r="F25" i="115"/>
  <c r="F24" i="115"/>
  <c r="F23" i="115"/>
  <c r="F22" i="115"/>
  <c r="F21" i="115"/>
  <c r="F20" i="115"/>
  <c r="F19" i="115"/>
  <c r="F18" i="115"/>
  <c r="F17" i="115"/>
  <c r="F16" i="115"/>
  <c r="F15" i="115"/>
  <c r="F14" i="115"/>
  <c r="F13" i="115"/>
  <c r="F12" i="115"/>
  <c r="F11" i="115"/>
  <c r="F10" i="115"/>
  <c r="F9" i="115"/>
  <c r="F8" i="115"/>
  <c r="F7" i="115"/>
  <c r="F6" i="115"/>
  <c r="F5" i="115"/>
  <c r="A1" i="115"/>
  <c r="F17" i="114"/>
  <c r="F16" i="114"/>
  <c r="F15" i="114"/>
  <c r="F14" i="114"/>
  <c r="F13" i="114"/>
  <c r="F12" i="114"/>
  <c r="F11" i="114"/>
  <c r="F10" i="114"/>
  <c r="F9" i="114"/>
  <c r="F8" i="114"/>
  <c r="F7" i="114"/>
  <c r="F6" i="114"/>
  <c r="F5" i="114"/>
  <c r="A1" i="114"/>
  <c r="F59" i="113"/>
  <c r="F58" i="113"/>
  <c r="F57" i="113"/>
  <c r="F56" i="113"/>
  <c r="F55" i="113"/>
  <c r="F54" i="113"/>
  <c r="F53" i="113"/>
  <c r="F52" i="113"/>
  <c r="F51" i="113"/>
  <c r="F50" i="113"/>
  <c r="F49" i="113"/>
  <c r="F48" i="113"/>
  <c r="F47" i="113"/>
  <c r="F46" i="113"/>
  <c r="F45" i="113"/>
  <c r="F44" i="113"/>
  <c r="F43" i="113"/>
  <c r="F42" i="113"/>
  <c r="F41" i="113"/>
  <c r="F40" i="113"/>
  <c r="F39" i="113"/>
  <c r="F38" i="113"/>
  <c r="F37" i="113"/>
  <c r="F36" i="113"/>
  <c r="F35" i="113"/>
  <c r="F34" i="113"/>
  <c r="F33" i="113"/>
  <c r="F32" i="113"/>
  <c r="F31" i="113"/>
  <c r="F30" i="113"/>
  <c r="F29" i="113"/>
  <c r="F28" i="113"/>
  <c r="F27" i="113"/>
  <c r="F26" i="113"/>
  <c r="F25" i="113"/>
  <c r="F24" i="113"/>
  <c r="F23" i="113"/>
  <c r="F22" i="113"/>
  <c r="F21" i="113"/>
  <c r="F20" i="113"/>
  <c r="F19" i="113"/>
  <c r="F18" i="113"/>
  <c r="F17" i="113"/>
  <c r="F16" i="113"/>
  <c r="F15" i="113"/>
  <c r="F14" i="113"/>
  <c r="F13" i="113"/>
  <c r="F12" i="113"/>
  <c r="F11" i="113"/>
  <c r="F10" i="113"/>
  <c r="F9" i="113"/>
  <c r="F8" i="113"/>
  <c r="F7" i="113"/>
  <c r="F6" i="113"/>
  <c r="F5" i="113"/>
  <c r="A1" i="113"/>
  <c r="F45" i="112"/>
  <c r="F44" i="112"/>
  <c r="F43" i="112"/>
  <c r="F42" i="112"/>
  <c r="F41" i="112"/>
  <c r="F40" i="112"/>
  <c r="F39" i="112"/>
  <c r="F38" i="112"/>
  <c r="F37" i="112"/>
  <c r="F36" i="112"/>
  <c r="F35" i="112"/>
  <c r="F34" i="112"/>
  <c r="F33" i="112"/>
  <c r="F32" i="112"/>
  <c r="F31" i="112"/>
  <c r="F30" i="112"/>
  <c r="F29" i="112"/>
  <c r="F28" i="112"/>
  <c r="F27" i="112"/>
  <c r="F26" i="112"/>
  <c r="F25" i="112"/>
  <c r="F24" i="112"/>
  <c r="F23" i="112"/>
  <c r="F22" i="112"/>
  <c r="F21" i="112"/>
  <c r="F20" i="112"/>
  <c r="F19" i="112"/>
  <c r="F18" i="112"/>
  <c r="F17" i="112"/>
  <c r="F16" i="112"/>
  <c r="F15" i="112"/>
  <c r="F14" i="112"/>
  <c r="F13" i="112"/>
  <c r="F12" i="112"/>
  <c r="F11" i="112"/>
  <c r="F10" i="112"/>
  <c r="F9" i="112"/>
  <c r="F8" i="112"/>
  <c r="F7" i="112"/>
  <c r="F6" i="112"/>
  <c r="F5" i="112"/>
  <c r="A1" i="112"/>
  <c r="F43" i="111"/>
  <c r="F42" i="111"/>
  <c r="F41" i="111"/>
  <c r="F40" i="111"/>
  <c r="F39" i="111"/>
  <c r="F38" i="111"/>
  <c r="F37" i="111"/>
  <c r="F36" i="111"/>
  <c r="F35" i="111"/>
  <c r="F34" i="111"/>
  <c r="F33" i="111"/>
  <c r="F32" i="111"/>
  <c r="F31" i="111"/>
  <c r="F30" i="111"/>
  <c r="F29" i="111"/>
  <c r="F28" i="111"/>
  <c r="F27" i="111"/>
  <c r="F26" i="111"/>
  <c r="F25" i="111"/>
  <c r="F24" i="111"/>
  <c r="F23" i="111"/>
  <c r="F22" i="111"/>
  <c r="F21" i="111"/>
  <c r="F20" i="111"/>
  <c r="F19" i="111"/>
  <c r="F18" i="111"/>
  <c r="F17" i="111"/>
  <c r="F16" i="111"/>
  <c r="F15" i="111"/>
  <c r="F14" i="111"/>
  <c r="F13" i="111"/>
  <c r="F12" i="111"/>
  <c r="F11" i="111"/>
  <c r="F10" i="111"/>
  <c r="F9" i="111"/>
  <c r="F8" i="111"/>
  <c r="F7" i="111"/>
  <c r="F6" i="111"/>
  <c r="F5" i="111"/>
  <c r="A1" i="111"/>
  <c r="F43" i="110"/>
  <c r="F42" i="110"/>
  <c r="F41" i="110"/>
  <c r="F40" i="110"/>
  <c r="F39" i="110"/>
  <c r="F38" i="110"/>
  <c r="F37" i="110"/>
  <c r="F36" i="110"/>
  <c r="F35" i="110"/>
  <c r="F34" i="110"/>
  <c r="F33" i="110"/>
  <c r="F32" i="110"/>
  <c r="F31" i="110"/>
  <c r="F30" i="110"/>
  <c r="F29" i="110"/>
  <c r="F28" i="110"/>
  <c r="F27" i="110"/>
  <c r="F26" i="110"/>
  <c r="F25" i="110"/>
  <c r="F24" i="110"/>
  <c r="F23" i="110"/>
  <c r="F22" i="110"/>
  <c r="F21" i="110"/>
  <c r="F20" i="110"/>
  <c r="F19" i="110"/>
  <c r="F18" i="110"/>
  <c r="F17" i="110"/>
  <c r="F16" i="110"/>
  <c r="F15" i="110"/>
  <c r="F14" i="110"/>
  <c r="F13" i="110"/>
  <c r="F12" i="110"/>
  <c r="F11" i="110"/>
  <c r="F10" i="110"/>
  <c r="F9" i="110"/>
  <c r="F8" i="110"/>
  <c r="F7" i="110"/>
  <c r="F6" i="110"/>
  <c r="F5" i="110"/>
  <c r="A1" i="110"/>
  <c r="F79" i="109"/>
  <c r="F78" i="109"/>
  <c r="F77" i="109"/>
  <c r="F76" i="109"/>
  <c r="F75" i="109"/>
  <c r="F74" i="109"/>
  <c r="F73" i="109"/>
  <c r="F72" i="109"/>
  <c r="F71" i="109"/>
  <c r="F70" i="109"/>
  <c r="F69" i="109"/>
  <c r="F68" i="109"/>
  <c r="F67" i="109"/>
  <c r="F66" i="109"/>
  <c r="F65" i="109"/>
  <c r="F64" i="109"/>
  <c r="F63" i="109"/>
  <c r="F62" i="109"/>
  <c r="F61" i="109"/>
  <c r="F60" i="109"/>
  <c r="F59" i="109"/>
  <c r="F58" i="109"/>
  <c r="F57" i="109"/>
  <c r="F56" i="109"/>
  <c r="F55" i="109"/>
  <c r="F54" i="109"/>
  <c r="F53" i="109"/>
  <c r="F52" i="109"/>
  <c r="F51" i="109"/>
  <c r="F50" i="109"/>
  <c r="F49" i="109"/>
  <c r="F48" i="109"/>
  <c r="F47" i="109"/>
  <c r="F46" i="109"/>
  <c r="F45" i="109"/>
  <c r="F44" i="109"/>
  <c r="F43" i="109"/>
  <c r="F42" i="109"/>
  <c r="F41" i="109"/>
  <c r="F40" i="109"/>
  <c r="F39" i="109"/>
  <c r="F38" i="109"/>
  <c r="F37" i="109"/>
  <c r="F36" i="109"/>
  <c r="F35" i="109"/>
  <c r="F34" i="109"/>
  <c r="F33" i="109"/>
  <c r="F32" i="109"/>
  <c r="F31" i="109"/>
  <c r="F30" i="109"/>
  <c r="F29" i="109"/>
  <c r="F28" i="109"/>
  <c r="F27" i="109"/>
  <c r="F26" i="109"/>
  <c r="F25" i="109"/>
  <c r="F24" i="109"/>
  <c r="F23" i="109"/>
  <c r="F22" i="109"/>
  <c r="F21" i="109"/>
  <c r="F20" i="109"/>
  <c r="F19" i="109"/>
  <c r="F18" i="109"/>
  <c r="F17" i="109"/>
  <c r="F16" i="109"/>
  <c r="F15" i="109"/>
  <c r="F14" i="109"/>
  <c r="F13" i="109"/>
  <c r="F12" i="109"/>
  <c r="F11" i="109"/>
  <c r="F10" i="109"/>
  <c r="F9" i="109"/>
  <c r="F8" i="109"/>
  <c r="F7" i="109"/>
  <c r="F6" i="109"/>
  <c r="F5" i="109"/>
  <c r="A1" i="109"/>
  <c r="F23" i="108"/>
  <c r="F22" i="108"/>
  <c r="F21" i="108"/>
  <c r="F20" i="108"/>
  <c r="F19" i="108"/>
  <c r="F18" i="108"/>
  <c r="F17" i="108"/>
  <c r="F16" i="108"/>
  <c r="F15" i="108"/>
  <c r="F14" i="108"/>
  <c r="F13" i="108"/>
  <c r="F12" i="108"/>
  <c r="F11" i="108"/>
  <c r="F10" i="108"/>
  <c r="F9" i="108"/>
  <c r="F8" i="108"/>
  <c r="F7" i="108"/>
  <c r="F6" i="108"/>
  <c r="F5" i="108"/>
  <c r="A1" i="108"/>
  <c r="F35" i="107"/>
  <c r="F34" i="107"/>
  <c r="F33" i="107"/>
  <c r="F32" i="107"/>
  <c r="F31" i="107"/>
  <c r="F30" i="107"/>
  <c r="F29" i="107"/>
  <c r="F28" i="107"/>
  <c r="F27" i="107"/>
  <c r="F26" i="107"/>
  <c r="F25" i="107"/>
  <c r="F24" i="107"/>
  <c r="F23" i="107"/>
  <c r="F22" i="107"/>
  <c r="F21" i="107"/>
  <c r="F20" i="107"/>
  <c r="F19" i="107"/>
  <c r="F18" i="107"/>
  <c r="F17" i="107"/>
  <c r="F16" i="107"/>
  <c r="F15" i="107"/>
  <c r="F14" i="107"/>
  <c r="F13" i="107"/>
  <c r="F12" i="107"/>
  <c r="F11" i="107"/>
  <c r="F10" i="107"/>
  <c r="F9" i="107"/>
  <c r="F8" i="107"/>
  <c r="F7" i="107"/>
  <c r="F6" i="107"/>
  <c r="F5" i="107"/>
  <c r="A1" i="107"/>
  <c r="F47" i="106"/>
  <c r="F46" i="106"/>
  <c r="F45" i="106"/>
  <c r="F44" i="106"/>
  <c r="F43" i="106"/>
  <c r="F42" i="106"/>
  <c r="F41" i="106"/>
  <c r="F40" i="106"/>
  <c r="F39" i="106"/>
  <c r="F38" i="106"/>
  <c r="F37" i="106"/>
  <c r="F36" i="106"/>
  <c r="F35" i="106"/>
  <c r="F34" i="106"/>
  <c r="F33" i="106"/>
  <c r="F32" i="106"/>
  <c r="F31" i="106"/>
  <c r="F30" i="106"/>
  <c r="F29" i="106"/>
  <c r="F28" i="106"/>
  <c r="F27" i="106"/>
  <c r="F26" i="106"/>
  <c r="F25" i="106"/>
  <c r="F24" i="106"/>
  <c r="F23" i="106"/>
  <c r="F22" i="106"/>
  <c r="F21" i="106"/>
  <c r="F20" i="106"/>
  <c r="F19" i="106"/>
  <c r="F18" i="106"/>
  <c r="F17" i="106"/>
  <c r="F16" i="106"/>
  <c r="F15" i="106"/>
  <c r="F14" i="106"/>
  <c r="F13" i="106"/>
  <c r="F12" i="106"/>
  <c r="F11" i="106"/>
  <c r="F10" i="106"/>
  <c r="F9" i="106"/>
  <c r="F8" i="106"/>
  <c r="F7" i="106"/>
  <c r="F6" i="106"/>
  <c r="F5" i="106"/>
  <c r="A1" i="106"/>
  <c r="F27" i="105"/>
  <c r="F26" i="105"/>
  <c r="F25" i="105"/>
  <c r="F24" i="105"/>
  <c r="F23" i="105"/>
  <c r="F22" i="105"/>
  <c r="F21" i="105"/>
  <c r="F20" i="105"/>
  <c r="F19" i="105"/>
  <c r="F18" i="105"/>
  <c r="F17" i="105"/>
  <c r="F16" i="105"/>
  <c r="F15" i="105"/>
  <c r="F14" i="105"/>
  <c r="F13" i="105"/>
  <c r="F12" i="105"/>
  <c r="F11" i="105"/>
  <c r="F10" i="105"/>
  <c r="F9" i="105"/>
  <c r="F8" i="105"/>
  <c r="F7" i="105"/>
  <c r="F6" i="105"/>
  <c r="F5" i="105"/>
  <c r="A1" i="105"/>
  <c r="F13" i="104"/>
  <c r="F12" i="104"/>
  <c r="F11" i="104"/>
  <c r="F10" i="104"/>
  <c r="F9" i="104"/>
  <c r="F8" i="104"/>
  <c r="F7" i="104"/>
  <c r="F6" i="104"/>
  <c r="F5" i="104"/>
  <c r="A1" i="104"/>
  <c r="F21" i="103"/>
  <c r="F20" i="103"/>
  <c r="F19" i="103"/>
  <c r="F18" i="103"/>
  <c r="F17" i="103"/>
  <c r="F16" i="103"/>
  <c r="F15" i="103"/>
  <c r="F14" i="103"/>
  <c r="F13" i="103"/>
  <c r="F12" i="103"/>
  <c r="F11" i="103"/>
  <c r="F10" i="103"/>
  <c r="F9" i="103"/>
  <c r="F8" i="103"/>
  <c r="F7" i="103"/>
  <c r="F6" i="103"/>
  <c r="F5" i="103"/>
  <c r="A1" i="103"/>
  <c r="F19" i="102"/>
  <c r="F18" i="102"/>
  <c r="F17" i="102"/>
  <c r="F16" i="102"/>
  <c r="F15" i="102"/>
  <c r="F14" i="102"/>
  <c r="F13" i="102"/>
  <c r="F12" i="102"/>
  <c r="F11" i="102"/>
  <c r="F10" i="102"/>
  <c r="F9" i="102"/>
  <c r="F8" i="102"/>
  <c r="F7" i="102"/>
  <c r="F6" i="102"/>
  <c r="F5" i="102"/>
  <c r="A1" i="102"/>
  <c r="F64" i="101"/>
  <c r="F63" i="101"/>
  <c r="F62" i="101"/>
  <c r="F61" i="101"/>
  <c r="F60" i="101"/>
  <c r="F59" i="101"/>
  <c r="F58" i="101"/>
  <c r="F57" i="101"/>
  <c r="F56" i="101"/>
  <c r="F55" i="101"/>
  <c r="F54" i="101"/>
  <c r="F53" i="101"/>
  <c r="F52" i="101"/>
  <c r="F51" i="101"/>
  <c r="F50" i="101"/>
  <c r="F49" i="101"/>
  <c r="F48" i="101"/>
  <c r="F47" i="101"/>
  <c r="F46" i="101"/>
  <c r="F45" i="101"/>
  <c r="F44" i="101"/>
  <c r="F43" i="101"/>
  <c r="F42" i="101"/>
  <c r="F41" i="101"/>
  <c r="F40" i="101"/>
  <c r="F39" i="101"/>
  <c r="F38" i="101"/>
  <c r="F37" i="101"/>
  <c r="F36" i="101"/>
  <c r="F35" i="101"/>
  <c r="F34" i="101"/>
  <c r="F33" i="101"/>
  <c r="F32" i="101"/>
  <c r="F31" i="101"/>
  <c r="F30" i="101"/>
  <c r="F29" i="101"/>
  <c r="F28" i="101"/>
  <c r="F27" i="101"/>
  <c r="F26" i="101"/>
  <c r="F25" i="101"/>
  <c r="F24" i="101"/>
  <c r="F23" i="101"/>
  <c r="F22" i="101"/>
  <c r="F21" i="101"/>
  <c r="F20" i="101"/>
  <c r="F19" i="101"/>
  <c r="F18" i="101"/>
  <c r="F17" i="101"/>
  <c r="F16" i="101"/>
  <c r="F15" i="101"/>
  <c r="F14" i="101"/>
  <c r="F13" i="101"/>
  <c r="F12" i="101"/>
  <c r="F11" i="101"/>
  <c r="F10" i="101"/>
  <c r="F9" i="101"/>
  <c r="F8" i="101"/>
  <c r="F7" i="101"/>
  <c r="F6" i="101"/>
  <c r="F5" i="101"/>
  <c r="A1" i="101"/>
  <c r="F51" i="100"/>
  <c r="F50" i="100"/>
  <c r="F49" i="100"/>
  <c r="F48" i="100"/>
  <c r="F47" i="100"/>
  <c r="F46" i="100"/>
  <c r="F45" i="100"/>
  <c r="F44" i="100"/>
  <c r="F43" i="100"/>
  <c r="F42" i="100"/>
  <c r="F41" i="100"/>
  <c r="F40" i="100"/>
  <c r="F39" i="100"/>
  <c r="F38" i="100"/>
  <c r="F37" i="100"/>
  <c r="F36" i="100"/>
  <c r="F35" i="100"/>
  <c r="F34" i="100"/>
  <c r="F33" i="100"/>
  <c r="F32" i="100"/>
  <c r="F31" i="100"/>
  <c r="F30" i="100"/>
  <c r="F29" i="100"/>
  <c r="F28" i="100"/>
  <c r="F27" i="100"/>
  <c r="F26" i="100"/>
  <c r="F25" i="100"/>
  <c r="F24" i="100"/>
  <c r="F23" i="100"/>
  <c r="F22" i="100"/>
  <c r="F21" i="100"/>
  <c r="F20" i="100"/>
  <c r="F19" i="100"/>
  <c r="F18" i="100"/>
  <c r="F17" i="100"/>
  <c r="F16" i="100"/>
  <c r="F15" i="100"/>
  <c r="F14" i="100"/>
  <c r="F13" i="100"/>
  <c r="F12" i="100"/>
  <c r="F11" i="100"/>
  <c r="F10" i="100"/>
  <c r="F9" i="100"/>
  <c r="F8" i="100"/>
  <c r="F7" i="100"/>
  <c r="F6" i="100"/>
  <c r="F5" i="100"/>
  <c r="A1" i="100"/>
  <c r="F55" i="99"/>
  <c r="F54" i="99"/>
  <c r="F53" i="99"/>
  <c r="F52" i="99"/>
  <c r="F51" i="99"/>
  <c r="F50" i="99"/>
  <c r="F49" i="99"/>
  <c r="F48" i="99"/>
  <c r="F47" i="99"/>
  <c r="F46" i="99"/>
  <c r="F45" i="99"/>
  <c r="F44" i="99"/>
  <c r="F43" i="99"/>
  <c r="F42" i="99"/>
  <c r="F41" i="99"/>
  <c r="F40" i="99"/>
  <c r="F39" i="99"/>
  <c r="F38" i="99"/>
  <c r="F37" i="99"/>
  <c r="F36" i="99"/>
  <c r="F35" i="99"/>
  <c r="F34" i="99"/>
  <c r="F33" i="99"/>
  <c r="F32" i="99"/>
  <c r="F31" i="99"/>
  <c r="F30" i="99"/>
  <c r="F29" i="99"/>
  <c r="F28" i="99"/>
  <c r="F27" i="99"/>
  <c r="F26" i="99"/>
  <c r="F25" i="99"/>
  <c r="F24" i="99"/>
  <c r="F23" i="99"/>
  <c r="F22" i="99"/>
  <c r="F21" i="99"/>
  <c r="F20" i="99"/>
  <c r="F19" i="99"/>
  <c r="F18" i="99"/>
  <c r="F17" i="99"/>
  <c r="F16" i="99"/>
  <c r="F15" i="99"/>
  <c r="F14" i="99"/>
  <c r="F13" i="99"/>
  <c r="F12" i="99"/>
  <c r="F11" i="99"/>
  <c r="F10" i="99"/>
  <c r="F9" i="99"/>
  <c r="F8" i="99"/>
  <c r="F7" i="99"/>
  <c r="F6" i="99"/>
  <c r="F5" i="99"/>
  <c r="A1" i="99"/>
  <c r="F67" i="98"/>
  <c r="F66" i="98"/>
  <c r="F65" i="98"/>
  <c r="F64" i="98"/>
  <c r="F63" i="98"/>
  <c r="F62" i="98"/>
  <c r="F61" i="98"/>
  <c r="F60" i="98"/>
  <c r="F59" i="98"/>
  <c r="F58" i="98"/>
  <c r="F57" i="98"/>
  <c r="F56" i="98"/>
  <c r="F55" i="98"/>
  <c r="F54" i="98"/>
  <c r="F53" i="98"/>
  <c r="F52" i="98"/>
  <c r="F51" i="98"/>
  <c r="F50" i="98"/>
  <c r="F49" i="98"/>
  <c r="F48" i="98"/>
  <c r="F47" i="98"/>
  <c r="F46" i="98"/>
  <c r="F45" i="98"/>
  <c r="F44" i="98"/>
  <c r="F43" i="98"/>
  <c r="F42" i="98"/>
  <c r="F41" i="98"/>
  <c r="F40" i="98"/>
  <c r="F39" i="98"/>
  <c r="F38" i="98"/>
  <c r="F37" i="98"/>
  <c r="F36" i="98"/>
  <c r="F35" i="98"/>
  <c r="F34" i="98"/>
  <c r="F33" i="98"/>
  <c r="F32" i="98"/>
  <c r="F31" i="98"/>
  <c r="F30" i="98"/>
  <c r="F29" i="98"/>
  <c r="F28" i="98"/>
  <c r="F27" i="98"/>
  <c r="F26" i="98"/>
  <c r="F25" i="98"/>
  <c r="F24" i="98"/>
  <c r="F23" i="98"/>
  <c r="F22" i="98"/>
  <c r="F21" i="98"/>
  <c r="F20" i="98"/>
  <c r="F19" i="98"/>
  <c r="F18" i="98"/>
  <c r="F17" i="98"/>
  <c r="F16" i="98"/>
  <c r="F15" i="98"/>
  <c r="F14" i="98"/>
  <c r="F13" i="98"/>
  <c r="F12" i="98"/>
  <c r="F11" i="98"/>
  <c r="F10" i="98"/>
  <c r="F9" i="98"/>
  <c r="F8" i="98"/>
  <c r="F7" i="98"/>
  <c r="F6" i="98"/>
  <c r="F5" i="98"/>
  <c r="A1" i="98"/>
  <c r="F25" i="97"/>
  <c r="F24" i="97"/>
  <c r="F23" i="97"/>
  <c r="F22" i="97"/>
  <c r="F21" i="97"/>
  <c r="F20" i="97"/>
  <c r="F19" i="97"/>
  <c r="F18" i="97"/>
  <c r="F17" i="97"/>
  <c r="F16" i="97"/>
  <c r="F15" i="97"/>
  <c r="F14" i="97"/>
  <c r="F13" i="97"/>
  <c r="F12" i="97"/>
  <c r="F11" i="97"/>
  <c r="F10" i="97"/>
  <c r="F9" i="97"/>
  <c r="F8" i="97"/>
  <c r="F7" i="97"/>
  <c r="F6" i="97"/>
  <c r="F5" i="97"/>
  <c r="A1" i="97"/>
  <c r="F29" i="96"/>
  <c r="F28" i="96"/>
  <c r="F27" i="96"/>
  <c r="F26" i="96"/>
  <c r="F25" i="96"/>
  <c r="F24" i="96"/>
  <c r="F23" i="96"/>
  <c r="F22" i="96"/>
  <c r="F21" i="96"/>
  <c r="F20" i="96"/>
  <c r="F19" i="96"/>
  <c r="F18" i="96"/>
  <c r="F17" i="96"/>
  <c r="F16" i="96"/>
  <c r="F15" i="96"/>
  <c r="F14" i="96"/>
  <c r="F13" i="96"/>
  <c r="F12" i="96"/>
  <c r="F11" i="96"/>
  <c r="F10" i="96"/>
  <c r="F9" i="96"/>
  <c r="F8" i="96"/>
  <c r="F7" i="96"/>
  <c r="F6" i="96"/>
  <c r="F5" i="96"/>
  <c r="A1" i="96"/>
  <c r="F17" i="95"/>
  <c r="F16" i="95"/>
  <c r="F15" i="95"/>
  <c r="F14" i="95"/>
  <c r="F13" i="95"/>
  <c r="F12" i="95"/>
  <c r="F11" i="95"/>
  <c r="F10" i="95"/>
  <c r="F9" i="95"/>
  <c r="F8" i="95"/>
  <c r="F7" i="95"/>
  <c r="F6" i="95"/>
  <c r="F5" i="95"/>
  <c r="A1" i="95"/>
  <c r="F38" i="94"/>
  <c r="F37" i="94"/>
  <c r="F36" i="94"/>
  <c r="F35" i="94"/>
  <c r="F34" i="94"/>
  <c r="F33" i="94"/>
  <c r="F32" i="94"/>
  <c r="F31" i="94"/>
  <c r="F30" i="94"/>
  <c r="F29" i="94"/>
  <c r="F28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1" i="94"/>
  <c r="F10" i="94"/>
  <c r="F9" i="94"/>
  <c r="F8" i="94"/>
  <c r="F7" i="94"/>
  <c r="F6" i="94"/>
  <c r="F5" i="94"/>
  <c r="A1" i="94"/>
  <c r="F26" i="93"/>
  <c r="F25" i="93"/>
  <c r="F24" i="93"/>
  <c r="F23" i="93"/>
  <c r="F22" i="93"/>
  <c r="F21" i="93"/>
  <c r="F20" i="93"/>
  <c r="F19" i="93"/>
  <c r="F18" i="93"/>
  <c r="F17" i="93"/>
  <c r="F16" i="93"/>
  <c r="F15" i="93"/>
  <c r="F14" i="93"/>
  <c r="F13" i="93"/>
  <c r="F12" i="93"/>
  <c r="F11" i="93"/>
  <c r="F10" i="93"/>
  <c r="F9" i="93"/>
  <c r="F8" i="93"/>
  <c r="F7" i="93"/>
  <c r="F6" i="93"/>
  <c r="F5" i="93"/>
  <c r="A1" i="93"/>
  <c r="F18" i="92"/>
  <c r="F17" i="92"/>
  <c r="F16" i="92"/>
  <c r="F15" i="92"/>
  <c r="F14" i="92"/>
  <c r="F13" i="92"/>
  <c r="F12" i="92"/>
  <c r="F11" i="92"/>
  <c r="F10" i="92"/>
  <c r="F9" i="92"/>
  <c r="F8" i="92"/>
  <c r="F7" i="92"/>
  <c r="F6" i="92"/>
  <c r="F5" i="92"/>
  <c r="A1" i="92"/>
  <c r="F17" i="91"/>
  <c r="F16" i="91"/>
  <c r="F15" i="91"/>
  <c r="F14" i="91"/>
  <c r="F13" i="91"/>
  <c r="F12" i="91"/>
  <c r="F11" i="91"/>
  <c r="F10" i="91"/>
  <c r="F9" i="91"/>
  <c r="F8" i="91"/>
  <c r="F7" i="91"/>
  <c r="F6" i="91"/>
  <c r="F5" i="91"/>
  <c r="A1" i="91"/>
  <c r="F16" i="90"/>
  <c r="F15" i="90"/>
  <c r="F14" i="90"/>
  <c r="F13" i="90"/>
  <c r="F12" i="90"/>
  <c r="F11" i="90"/>
  <c r="F10" i="90"/>
  <c r="F9" i="90"/>
  <c r="F8" i="90"/>
  <c r="F7" i="90"/>
  <c r="F6" i="90"/>
  <c r="F5" i="90"/>
  <c r="A1" i="90"/>
  <c r="F24" i="89"/>
  <c r="F23" i="89"/>
  <c r="F22" i="89"/>
  <c r="F21" i="89"/>
  <c r="F20" i="89"/>
  <c r="F19" i="89"/>
  <c r="F18" i="89"/>
  <c r="F17" i="89"/>
  <c r="F16" i="89"/>
  <c r="F15" i="89"/>
  <c r="F14" i="89"/>
  <c r="F13" i="89"/>
  <c r="F12" i="89"/>
  <c r="F11" i="89"/>
  <c r="F10" i="89"/>
  <c r="F9" i="89"/>
  <c r="F8" i="89"/>
  <c r="F7" i="89"/>
  <c r="F6" i="89"/>
  <c r="F5" i="89"/>
  <c r="A1" i="89"/>
  <c r="F20" i="88"/>
  <c r="F19" i="88"/>
  <c r="F18" i="88"/>
  <c r="F17" i="88"/>
  <c r="F16" i="88"/>
  <c r="F15" i="88"/>
  <c r="F14" i="88"/>
  <c r="F13" i="88"/>
  <c r="F12" i="88"/>
  <c r="F11" i="88"/>
  <c r="F10" i="88"/>
  <c r="F9" i="88"/>
  <c r="F8" i="88"/>
  <c r="F7" i="88"/>
  <c r="F6" i="88"/>
  <c r="F5" i="88"/>
  <c r="A1" i="88"/>
  <c r="F39" i="87"/>
  <c r="F38" i="87"/>
  <c r="F37" i="87"/>
  <c r="F36" i="87"/>
  <c r="F35" i="87"/>
  <c r="F34" i="87"/>
  <c r="F33" i="87"/>
  <c r="F32" i="87"/>
  <c r="F31" i="87"/>
  <c r="F30" i="87"/>
  <c r="F29" i="87"/>
  <c r="F28" i="87"/>
  <c r="F27" i="87"/>
  <c r="F26" i="87"/>
  <c r="F25" i="87"/>
  <c r="F24" i="87"/>
  <c r="F23" i="87"/>
  <c r="F22" i="87"/>
  <c r="F21" i="87"/>
  <c r="F20" i="87"/>
  <c r="F19" i="87"/>
  <c r="F18" i="87"/>
  <c r="F17" i="87"/>
  <c r="F16" i="87"/>
  <c r="F15" i="87"/>
  <c r="F14" i="87"/>
  <c r="F13" i="87"/>
  <c r="F12" i="87"/>
  <c r="F11" i="87"/>
  <c r="F10" i="87"/>
  <c r="F9" i="87"/>
  <c r="F8" i="87"/>
  <c r="F7" i="87"/>
  <c r="F6" i="87"/>
  <c r="F5" i="87"/>
  <c r="A1" i="87"/>
  <c r="F58" i="86"/>
  <c r="F57" i="86"/>
  <c r="F56" i="86"/>
  <c r="F55" i="86"/>
  <c r="F54" i="86"/>
  <c r="F53" i="86"/>
  <c r="F52" i="86"/>
  <c r="F51" i="86"/>
  <c r="F50" i="86"/>
  <c r="F49" i="86"/>
  <c r="F48" i="86"/>
  <c r="F47" i="86"/>
  <c r="F46" i="86"/>
  <c r="F45" i="86"/>
  <c r="F44" i="86"/>
  <c r="F43" i="86"/>
  <c r="F42" i="86"/>
  <c r="F41" i="86"/>
  <c r="F40" i="86"/>
  <c r="F39" i="86"/>
  <c r="F38" i="86"/>
  <c r="F37" i="86"/>
  <c r="F36" i="86"/>
  <c r="F35" i="86"/>
  <c r="F34" i="86"/>
  <c r="F33" i="86"/>
  <c r="F32" i="86"/>
  <c r="F31" i="86"/>
  <c r="F30" i="86"/>
  <c r="F29" i="86"/>
  <c r="F28" i="86"/>
  <c r="F27" i="86"/>
  <c r="F26" i="86"/>
  <c r="F25" i="86"/>
  <c r="F24" i="86"/>
  <c r="F23" i="86"/>
  <c r="F22" i="86"/>
  <c r="F21" i="86"/>
  <c r="F20" i="86"/>
  <c r="F19" i="86"/>
  <c r="F18" i="86"/>
  <c r="F17" i="86"/>
  <c r="F16" i="86"/>
  <c r="F15" i="86"/>
  <c r="F14" i="86"/>
  <c r="F13" i="86"/>
  <c r="F12" i="86"/>
  <c r="F11" i="86"/>
  <c r="F10" i="86"/>
  <c r="F9" i="86"/>
  <c r="F8" i="86"/>
  <c r="F7" i="86"/>
  <c r="F6" i="86"/>
  <c r="F5" i="86"/>
  <c r="A1" i="86"/>
  <c r="F12" i="85"/>
  <c r="F11" i="85"/>
  <c r="F10" i="85"/>
  <c r="F9" i="85"/>
  <c r="F8" i="85"/>
  <c r="F7" i="85"/>
  <c r="F6" i="85"/>
  <c r="F5" i="85"/>
  <c r="A1" i="85"/>
  <c r="F22" i="84"/>
  <c r="F21" i="84"/>
  <c r="F20" i="84"/>
  <c r="F19" i="84"/>
  <c r="F18" i="84"/>
  <c r="F17" i="84"/>
  <c r="F16" i="84"/>
  <c r="F15" i="84"/>
  <c r="F14" i="84"/>
  <c r="F13" i="84"/>
  <c r="F12" i="84"/>
  <c r="F11" i="84"/>
  <c r="F10" i="84"/>
  <c r="F9" i="84"/>
  <c r="F8" i="84"/>
  <c r="F7" i="84"/>
  <c r="F6" i="84"/>
  <c r="F5" i="84"/>
  <c r="A1" i="84"/>
  <c r="F52" i="83"/>
  <c r="F51" i="83"/>
  <c r="F50" i="83"/>
  <c r="F49" i="83"/>
  <c r="F48" i="83"/>
  <c r="F47" i="83"/>
  <c r="F46" i="83"/>
  <c r="F45" i="83"/>
  <c r="F44" i="83"/>
  <c r="F43" i="83"/>
  <c r="F42" i="83"/>
  <c r="F41" i="83"/>
  <c r="F40" i="83"/>
  <c r="F39" i="83"/>
  <c r="F38" i="83"/>
  <c r="F37" i="83"/>
  <c r="F36" i="83"/>
  <c r="F35" i="83"/>
  <c r="F34" i="83"/>
  <c r="F33" i="83"/>
  <c r="F32" i="83"/>
  <c r="F31" i="83"/>
  <c r="F30" i="83"/>
  <c r="F29" i="83"/>
  <c r="F28" i="83"/>
  <c r="F27" i="83"/>
  <c r="F26" i="83"/>
  <c r="F25" i="83"/>
  <c r="F24" i="83"/>
  <c r="F23" i="83"/>
  <c r="F22" i="83"/>
  <c r="F21" i="83"/>
  <c r="F20" i="83"/>
  <c r="F19" i="83"/>
  <c r="F18" i="83"/>
  <c r="F17" i="83"/>
  <c r="F16" i="83"/>
  <c r="F15" i="83"/>
  <c r="F14" i="83"/>
  <c r="F13" i="83"/>
  <c r="F12" i="83"/>
  <c r="F11" i="83"/>
  <c r="F10" i="83"/>
  <c r="F9" i="83"/>
  <c r="F8" i="83"/>
  <c r="F7" i="83"/>
  <c r="F6" i="83"/>
  <c r="F5" i="83"/>
  <c r="A1" i="83"/>
  <c r="F33" i="82"/>
  <c r="F32" i="82"/>
  <c r="F31" i="82"/>
  <c r="F30" i="82"/>
  <c r="F29" i="82"/>
  <c r="F28" i="82"/>
  <c r="F27" i="82"/>
  <c r="F26" i="82"/>
  <c r="F25" i="82"/>
  <c r="F24" i="82"/>
  <c r="F23" i="82"/>
  <c r="F22" i="82"/>
  <c r="F21" i="82"/>
  <c r="F20" i="82"/>
  <c r="F19" i="82"/>
  <c r="F18" i="82"/>
  <c r="F17" i="82"/>
  <c r="F16" i="82"/>
  <c r="F15" i="82"/>
  <c r="F14" i="82"/>
  <c r="F13" i="82"/>
  <c r="F12" i="82"/>
  <c r="F11" i="82"/>
  <c r="F10" i="82"/>
  <c r="F9" i="82"/>
  <c r="F8" i="82"/>
  <c r="F7" i="82"/>
  <c r="F6" i="82"/>
  <c r="F5" i="82"/>
  <c r="A1" i="82"/>
  <c r="F31" i="81"/>
  <c r="F30" i="81"/>
  <c r="F29" i="81"/>
  <c r="F28" i="81"/>
  <c r="F27" i="81"/>
  <c r="F26" i="81"/>
  <c r="F25" i="81"/>
  <c r="F24" i="81"/>
  <c r="F23" i="81"/>
  <c r="F22" i="81"/>
  <c r="F21" i="81"/>
  <c r="F20" i="81"/>
  <c r="F19" i="81"/>
  <c r="F18" i="81"/>
  <c r="F17" i="81"/>
  <c r="F16" i="81"/>
  <c r="F15" i="81"/>
  <c r="F14" i="81"/>
  <c r="F13" i="81"/>
  <c r="F12" i="81"/>
  <c r="F11" i="81"/>
  <c r="F10" i="81"/>
  <c r="F9" i="81"/>
  <c r="F8" i="81"/>
  <c r="F7" i="81"/>
  <c r="F6" i="81"/>
  <c r="F5" i="81"/>
  <c r="A1" i="81"/>
  <c r="F33" i="80"/>
  <c r="F32" i="80"/>
  <c r="F31" i="80"/>
  <c r="F30" i="80"/>
  <c r="F29" i="80"/>
  <c r="F28" i="80"/>
  <c r="F27" i="80"/>
  <c r="F26" i="80"/>
  <c r="F25" i="80"/>
  <c r="F24" i="80"/>
  <c r="F23" i="80"/>
  <c r="F22" i="80"/>
  <c r="F21" i="80"/>
  <c r="F20" i="80"/>
  <c r="F19" i="80"/>
  <c r="F18" i="80"/>
  <c r="F17" i="80"/>
  <c r="F16" i="80"/>
  <c r="F15" i="80"/>
  <c r="F14" i="80"/>
  <c r="F13" i="80"/>
  <c r="F12" i="80"/>
  <c r="F11" i="80"/>
  <c r="F10" i="80"/>
  <c r="F9" i="80"/>
  <c r="F8" i="80"/>
  <c r="F7" i="80"/>
  <c r="F6" i="80"/>
  <c r="F5" i="80"/>
  <c r="A1" i="80"/>
  <c r="F20" i="79"/>
  <c r="F19" i="79"/>
  <c r="F18" i="79"/>
  <c r="F17" i="79"/>
  <c r="F16" i="79"/>
  <c r="F15" i="79"/>
  <c r="F14" i="79"/>
  <c r="F13" i="79"/>
  <c r="F12" i="79"/>
  <c r="F11" i="79"/>
  <c r="F10" i="79"/>
  <c r="F9" i="79"/>
  <c r="F8" i="79"/>
  <c r="F7" i="79"/>
  <c r="F6" i="79"/>
  <c r="F5" i="79"/>
  <c r="A1" i="79"/>
  <c r="F18" i="78"/>
  <c r="F17" i="78"/>
  <c r="F16" i="78"/>
  <c r="F15" i="78"/>
  <c r="F14" i="78"/>
  <c r="F13" i="78"/>
  <c r="F12" i="78"/>
  <c r="F11" i="78"/>
  <c r="F10" i="78"/>
  <c r="F9" i="78"/>
  <c r="F8" i="78"/>
  <c r="F7" i="78"/>
  <c r="F6" i="78"/>
  <c r="F5" i="78"/>
  <c r="A1" i="78"/>
  <c r="F32" i="77"/>
  <c r="F31" i="77"/>
  <c r="F30" i="77"/>
  <c r="F29" i="77"/>
  <c r="F28" i="77"/>
  <c r="F27" i="77"/>
  <c r="F26" i="77"/>
  <c r="F25" i="77"/>
  <c r="F24" i="77"/>
  <c r="F23" i="77"/>
  <c r="F22" i="77"/>
  <c r="F21" i="77"/>
  <c r="F20" i="77"/>
  <c r="F19" i="77"/>
  <c r="F18" i="77"/>
  <c r="F17" i="77"/>
  <c r="F16" i="77"/>
  <c r="F15" i="77"/>
  <c r="F14" i="77"/>
  <c r="F13" i="77"/>
  <c r="F12" i="77"/>
  <c r="F11" i="77"/>
  <c r="F10" i="77"/>
  <c r="F9" i="77"/>
  <c r="F8" i="77"/>
  <c r="F7" i="77"/>
  <c r="F6" i="77"/>
  <c r="F5" i="77"/>
  <c r="A1" i="77"/>
  <c r="F16" i="76"/>
  <c r="F15" i="76"/>
  <c r="F14" i="76"/>
  <c r="F13" i="76"/>
  <c r="F12" i="76"/>
  <c r="F11" i="76"/>
  <c r="F10" i="76"/>
  <c r="F9" i="76"/>
  <c r="F8" i="76"/>
  <c r="F7" i="76"/>
  <c r="F6" i="76"/>
  <c r="F5" i="76"/>
  <c r="A1" i="76"/>
  <c r="F24" i="75"/>
  <c r="F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F10" i="75"/>
  <c r="F9" i="75"/>
  <c r="F8" i="75"/>
  <c r="F7" i="75"/>
  <c r="F6" i="75"/>
  <c r="F5" i="75"/>
  <c r="A1" i="75"/>
  <c r="F11" i="74"/>
  <c r="F10" i="74"/>
  <c r="F9" i="74"/>
  <c r="F8" i="74"/>
  <c r="F7" i="74"/>
  <c r="F6" i="74"/>
  <c r="F5" i="74"/>
  <c r="A1" i="74"/>
  <c r="F17" i="73"/>
  <c r="F16" i="73"/>
  <c r="F15" i="73"/>
  <c r="F14" i="73"/>
  <c r="F13" i="73"/>
  <c r="F12" i="73"/>
  <c r="F11" i="73"/>
  <c r="F10" i="73"/>
  <c r="F9" i="73"/>
  <c r="F8" i="73"/>
  <c r="F7" i="73"/>
  <c r="F6" i="73"/>
  <c r="F5" i="73"/>
  <c r="A1" i="73"/>
  <c r="F17" i="72"/>
  <c r="F16" i="72"/>
  <c r="F15" i="72"/>
  <c r="F14" i="72"/>
  <c r="F13" i="72"/>
  <c r="F12" i="72"/>
  <c r="F11" i="72"/>
  <c r="F10" i="72"/>
  <c r="F9" i="72"/>
  <c r="F8" i="72"/>
  <c r="F7" i="72"/>
  <c r="F6" i="72"/>
  <c r="F5" i="72"/>
  <c r="A1" i="72"/>
  <c r="F20" i="71"/>
  <c r="F19" i="71"/>
  <c r="F18" i="71"/>
  <c r="F17" i="71"/>
  <c r="F16" i="71"/>
  <c r="F15" i="71"/>
  <c r="F14" i="71"/>
  <c r="F13" i="71"/>
  <c r="F12" i="71"/>
  <c r="F11" i="71"/>
  <c r="F10" i="71"/>
  <c r="F9" i="71"/>
  <c r="F8" i="71"/>
  <c r="F7" i="71"/>
  <c r="F6" i="71"/>
  <c r="F5" i="71"/>
  <c r="A1" i="71"/>
  <c r="F29" i="70"/>
  <c r="F28" i="70"/>
  <c r="F27" i="70"/>
  <c r="F26" i="70"/>
  <c r="F25" i="70"/>
  <c r="F24" i="70"/>
  <c r="F23" i="70"/>
  <c r="F22" i="70"/>
  <c r="F21" i="70"/>
  <c r="F20" i="70"/>
  <c r="F19" i="70"/>
  <c r="F18" i="70"/>
  <c r="F17" i="70"/>
  <c r="F16" i="70"/>
  <c r="F15" i="70"/>
  <c r="F14" i="70"/>
  <c r="F13" i="70"/>
  <c r="F12" i="70"/>
  <c r="F11" i="70"/>
  <c r="F10" i="70"/>
  <c r="F9" i="70"/>
  <c r="F8" i="70"/>
  <c r="F7" i="70"/>
  <c r="F6" i="70"/>
  <c r="F5" i="70"/>
  <c r="A1" i="70"/>
  <c r="F39" i="69"/>
  <c r="F38" i="69"/>
  <c r="F37" i="69"/>
  <c r="F36" i="69"/>
  <c r="F35" i="69"/>
  <c r="F34" i="69"/>
  <c r="F33" i="69"/>
  <c r="F32" i="69"/>
  <c r="F31" i="69"/>
  <c r="F30" i="69"/>
  <c r="F29" i="69"/>
  <c r="F28" i="69"/>
  <c r="F27" i="69"/>
  <c r="F26" i="69"/>
  <c r="F25" i="69"/>
  <c r="F24" i="69"/>
  <c r="F23" i="69"/>
  <c r="F22" i="69"/>
  <c r="F21" i="69"/>
  <c r="F20" i="69"/>
  <c r="F19" i="69"/>
  <c r="F18" i="69"/>
  <c r="F17" i="69"/>
  <c r="F16" i="69"/>
  <c r="F15" i="69"/>
  <c r="F14" i="69"/>
  <c r="F13" i="69"/>
  <c r="F12" i="69"/>
  <c r="F11" i="69"/>
  <c r="F10" i="69"/>
  <c r="F9" i="69"/>
  <c r="F8" i="69"/>
  <c r="F7" i="69"/>
  <c r="F6" i="69"/>
  <c r="F5" i="69"/>
  <c r="A1" i="69"/>
  <c r="F42" i="68"/>
  <c r="F41" i="68"/>
  <c r="F40" i="68"/>
  <c r="F39" i="68"/>
  <c r="F38" i="68"/>
  <c r="F37" i="68"/>
  <c r="F36" i="68"/>
  <c r="F35" i="68"/>
  <c r="F34" i="68"/>
  <c r="F33" i="68"/>
  <c r="F32" i="68"/>
  <c r="F31" i="68"/>
  <c r="F30" i="68"/>
  <c r="F29" i="68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F10" i="68"/>
  <c r="F9" i="68"/>
  <c r="F8" i="68"/>
  <c r="F7" i="68"/>
  <c r="F6" i="68"/>
  <c r="F5" i="68"/>
  <c r="A1" i="68"/>
  <c r="F18" i="67"/>
  <c r="F17" i="67"/>
  <c r="F16" i="67"/>
  <c r="F15" i="67"/>
  <c r="F14" i="67"/>
  <c r="F13" i="67"/>
  <c r="F12" i="67"/>
  <c r="F11" i="67"/>
  <c r="F10" i="67"/>
  <c r="F9" i="67"/>
  <c r="F8" i="67"/>
  <c r="F7" i="67"/>
  <c r="F6" i="67"/>
  <c r="A1" i="67"/>
  <c r="F12" i="66"/>
  <c r="F11" i="66"/>
  <c r="F10" i="66"/>
  <c r="F9" i="66"/>
  <c r="F8" i="66"/>
  <c r="F7" i="66"/>
  <c r="F6" i="66"/>
  <c r="F5" i="66"/>
  <c r="A1" i="66"/>
  <c r="F44" i="65"/>
  <c r="F43" i="65"/>
  <c r="F42" i="65"/>
  <c r="F41" i="65"/>
  <c r="F40" i="65"/>
  <c r="F39" i="65"/>
  <c r="F38" i="65"/>
  <c r="F37" i="65"/>
  <c r="F36" i="65"/>
  <c r="F35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F8" i="65"/>
  <c r="F7" i="65"/>
  <c r="F6" i="65"/>
  <c r="F5" i="65"/>
  <c r="A1" i="65"/>
  <c r="F32" i="64"/>
  <c r="F31" i="64"/>
  <c r="F30" i="64"/>
  <c r="F29" i="64"/>
  <c r="F28" i="64"/>
  <c r="F27" i="64"/>
  <c r="F26" i="64"/>
  <c r="F25" i="64"/>
  <c r="F24" i="64"/>
  <c r="F23" i="64"/>
  <c r="F22" i="64"/>
  <c r="F21" i="64"/>
  <c r="F20" i="64"/>
  <c r="F19" i="64"/>
  <c r="F18" i="64"/>
  <c r="F17" i="64"/>
  <c r="F16" i="64"/>
  <c r="F15" i="64"/>
  <c r="F14" i="64"/>
  <c r="F13" i="64"/>
  <c r="F12" i="64"/>
  <c r="F11" i="64"/>
  <c r="F10" i="64"/>
  <c r="F9" i="64"/>
  <c r="F8" i="64"/>
  <c r="F7" i="64"/>
  <c r="F6" i="64"/>
  <c r="F5" i="64"/>
  <c r="A1" i="64"/>
  <c r="F82" i="63"/>
  <c r="F81" i="63"/>
  <c r="F80" i="63"/>
  <c r="F79" i="63"/>
  <c r="F78" i="63"/>
  <c r="F77" i="63"/>
  <c r="F76" i="63"/>
  <c r="F75" i="63"/>
  <c r="F74" i="63"/>
  <c r="F73" i="63"/>
  <c r="F72" i="63"/>
  <c r="F71" i="63"/>
  <c r="F70" i="63"/>
  <c r="F69" i="63"/>
  <c r="F68" i="63"/>
  <c r="F67" i="63"/>
  <c r="F66" i="63"/>
  <c r="F65" i="63"/>
  <c r="F64" i="63"/>
  <c r="F63" i="63"/>
  <c r="F62" i="63"/>
  <c r="F61" i="63"/>
  <c r="F60" i="63"/>
  <c r="F59" i="63"/>
  <c r="F58" i="63"/>
  <c r="F57" i="63"/>
  <c r="F56" i="63"/>
  <c r="F55" i="63"/>
  <c r="F54" i="63"/>
  <c r="F53" i="63"/>
  <c r="F52" i="63"/>
  <c r="F51" i="63"/>
  <c r="F50" i="63"/>
  <c r="F49" i="63"/>
  <c r="F48" i="63"/>
  <c r="F47" i="63"/>
  <c r="F46" i="63"/>
  <c r="F45" i="63"/>
  <c r="F44" i="63"/>
  <c r="F43" i="63"/>
  <c r="F42" i="63"/>
  <c r="F41" i="63"/>
  <c r="F40" i="63"/>
  <c r="F39" i="63"/>
  <c r="F38" i="63"/>
  <c r="F37" i="63"/>
  <c r="F36" i="63"/>
  <c r="F35" i="63"/>
  <c r="F34" i="63"/>
  <c r="F33" i="63"/>
  <c r="F32" i="63"/>
  <c r="F31" i="63"/>
  <c r="F30" i="63"/>
  <c r="F29" i="63"/>
  <c r="F28" i="63"/>
  <c r="F27" i="63"/>
  <c r="F26" i="63"/>
  <c r="F25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  <c r="A1" i="63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F10" i="62"/>
  <c r="F9" i="62"/>
  <c r="F8" i="62"/>
  <c r="F7" i="62"/>
  <c r="F6" i="62"/>
  <c r="F5" i="62"/>
  <c r="A1" i="62"/>
  <c r="F10" i="61"/>
  <c r="F9" i="61"/>
  <c r="F8" i="61"/>
  <c r="F7" i="61"/>
  <c r="F6" i="61"/>
  <c r="F5" i="61"/>
  <c r="A1" i="61"/>
  <c r="F23" i="60"/>
  <c r="F22" i="60"/>
  <c r="F21" i="60"/>
  <c r="F20" i="60"/>
  <c r="F19" i="60"/>
  <c r="F18" i="60"/>
  <c r="F17" i="60"/>
  <c r="F16" i="60"/>
  <c r="F15" i="60"/>
  <c r="F14" i="60"/>
  <c r="F13" i="60"/>
  <c r="F12" i="60"/>
  <c r="F11" i="60"/>
  <c r="F10" i="60"/>
  <c r="F9" i="60"/>
  <c r="F8" i="60"/>
  <c r="F7" i="60"/>
  <c r="F6" i="60"/>
  <c r="F5" i="60"/>
  <c r="A1" i="60"/>
  <c r="F28" i="59"/>
  <c r="F27" i="59"/>
  <c r="F26" i="59"/>
  <c r="F25" i="59"/>
  <c r="F24" i="59"/>
  <c r="F23" i="59"/>
  <c r="F22" i="59"/>
  <c r="F21" i="59"/>
  <c r="F20" i="59"/>
  <c r="F19" i="59"/>
  <c r="F18" i="59"/>
  <c r="F17" i="59"/>
  <c r="F16" i="59"/>
  <c r="F15" i="59"/>
  <c r="F14" i="59"/>
  <c r="F13" i="59"/>
  <c r="F12" i="59"/>
  <c r="F11" i="59"/>
  <c r="F10" i="59"/>
  <c r="F9" i="59"/>
  <c r="F8" i="59"/>
  <c r="F7" i="59"/>
  <c r="F6" i="59"/>
  <c r="F5" i="59"/>
  <c r="A1" i="59"/>
  <c r="F26" i="58"/>
  <c r="F25" i="58"/>
  <c r="F24" i="58"/>
  <c r="F23" i="58"/>
  <c r="F22" i="58"/>
  <c r="F21" i="58"/>
  <c r="F20" i="58"/>
  <c r="F19" i="58"/>
  <c r="F18" i="58"/>
  <c r="F17" i="58"/>
  <c r="F16" i="58"/>
  <c r="F15" i="58"/>
  <c r="F14" i="58"/>
  <c r="F13" i="58"/>
  <c r="F12" i="58"/>
  <c r="F11" i="58"/>
  <c r="F10" i="58"/>
  <c r="F9" i="58"/>
  <c r="F8" i="58"/>
  <c r="F7" i="58"/>
  <c r="F6" i="58"/>
  <c r="F5" i="58"/>
  <c r="A1" i="58"/>
  <c r="F30" i="57"/>
  <c r="F29" i="57"/>
  <c r="F28" i="57"/>
  <c r="F27" i="57"/>
  <c r="F26" i="57"/>
  <c r="F25" i="57"/>
  <c r="F24" i="57"/>
  <c r="F23" i="57"/>
  <c r="F22" i="57"/>
  <c r="F21" i="57"/>
  <c r="F20" i="57"/>
  <c r="F19" i="57"/>
  <c r="F18" i="57"/>
  <c r="F17" i="57"/>
  <c r="F16" i="57"/>
  <c r="F15" i="57"/>
  <c r="F14" i="57"/>
  <c r="F13" i="57"/>
  <c r="F12" i="57"/>
  <c r="F11" i="57"/>
  <c r="F10" i="57"/>
  <c r="F9" i="57"/>
  <c r="F8" i="57"/>
  <c r="F7" i="57"/>
  <c r="F6" i="57"/>
  <c r="F5" i="57"/>
  <c r="A1" i="57"/>
  <c r="F54" i="56"/>
  <c r="F53" i="56"/>
  <c r="F52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F10" i="56"/>
  <c r="F9" i="56"/>
  <c r="F8" i="56"/>
  <c r="F7" i="56"/>
  <c r="F6" i="56"/>
  <c r="F5" i="56"/>
  <c r="A1" i="56"/>
  <c r="F25" i="55"/>
  <c r="F24" i="55"/>
  <c r="F23" i="55"/>
  <c r="F22" i="55"/>
  <c r="F21" i="55"/>
  <c r="F20" i="55"/>
  <c r="F19" i="55"/>
  <c r="F18" i="55"/>
  <c r="F17" i="55"/>
  <c r="F16" i="55"/>
  <c r="F15" i="55"/>
  <c r="F14" i="55"/>
  <c r="F13" i="55"/>
  <c r="F12" i="55"/>
  <c r="F11" i="55"/>
  <c r="F10" i="55"/>
  <c r="F9" i="55"/>
  <c r="F8" i="55"/>
  <c r="F7" i="55"/>
  <c r="F6" i="55"/>
  <c r="F5" i="55"/>
  <c r="A1" i="55"/>
  <c r="F26" i="54"/>
  <c r="F25" i="54"/>
  <c r="F24" i="54"/>
  <c r="F23" i="54"/>
  <c r="F22" i="54"/>
  <c r="F21" i="54"/>
  <c r="F20" i="54"/>
  <c r="F19" i="54"/>
  <c r="F18" i="54"/>
  <c r="F17" i="54"/>
  <c r="F16" i="54"/>
  <c r="F15" i="54"/>
  <c r="F14" i="54"/>
  <c r="F13" i="54"/>
  <c r="F12" i="54"/>
  <c r="F11" i="54"/>
  <c r="F10" i="54"/>
  <c r="F9" i="54"/>
  <c r="F8" i="54"/>
  <c r="F7" i="54"/>
  <c r="F6" i="54"/>
  <c r="F5" i="54"/>
  <c r="A1" i="54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A1" i="53"/>
  <c r="F28" i="52"/>
  <c r="F27" i="52"/>
  <c r="F26" i="52"/>
  <c r="F25" i="52"/>
  <c r="F24" i="52"/>
  <c r="F23" i="52"/>
  <c r="F22" i="52"/>
  <c r="F21" i="52"/>
  <c r="F20" i="52"/>
  <c r="F19" i="52"/>
  <c r="F18" i="52"/>
  <c r="F17" i="52"/>
  <c r="F16" i="52"/>
  <c r="F15" i="52"/>
  <c r="F14" i="52"/>
  <c r="F13" i="52"/>
  <c r="F12" i="52"/>
  <c r="F11" i="52"/>
  <c r="F10" i="52"/>
  <c r="F9" i="52"/>
  <c r="F8" i="52"/>
  <c r="F7" i="52"/>
  <c r="F6" i="52"/>
  <c r="F5" i="52"/>
  <c r="A1" i="52"/>
  <c r="F29" i="51"/>
  <c r="F28" i="51"/>
  <c r="F27" i="51"/>
  <c r="F26" i="51"/>
  <c r="F25" i="51"/>
  <c r="F24" i="51"/>
  <c r="F23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F10" i="51"/>
  <c r="F9" i="51"/>
  <c r="F8" i="51"/>
  <c r="F7" i="51"/>
  <c r="F6" i="51"/>
  <c r="F5" i="51"/>
  <c r="A1" i="51"/>
  <c r="F44" i="50"/>
  <c r="F43" i="50"/>
  <c r="F42" i="50"/>
  <c r="F41" i="50"/>
  <c r="F40" i="50"/>
  <c r="F39" i="50"/>
  <c r="F38" i="50"/>
  <c r="F37" i="50"/>
  <c r="F36" i="50"/>
  <c r="F35" i="50"/>
  <c r="F34" i="50"/>
  <c r="F33" i="50"/>
  <c r="F32" i="50"/>
  <c r="F31" i="50"/>
  <c r="F30" i="50"/>
  <c r="F29" i="50"/>
  <c r="F28" i="50"/>
  <c r="F27" i="50"/>
  <c r="F26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F8" i="50"/>
  <c r="F7" i="50"/>
  <c r="F6" i="50"/>
  <c r="F5" i="50"/>
  <c r="A1" i="50"/>
  <c r="F49" i="49"/>
  <c r="F48" i="49"/>
  <c r="F47" i="49"/>
  <c r="F46" i="49"/>
  <c r="F45" i="49"/>
  <c r="F44" i="49"/>
  <c r="F43" i="49"/>
  <c r="F42" i="49"/>
  <c r="F41" i="49"/>
  <c r="F40" i="49"/>
  <c r="F39" i="49"/>
  <c r="F38" i="49"/>
  <c r="F37" i="49"/>
  <c r="F36" i="49"/>
  <c r="F35" i="49"/>
  <c r="F34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F5" i="49"/>
  <c r="A1" i="49"/>
  <c r="F32" i="48"/>
  <c r="F31" i="48"/>
  <c r="F30" i="48"/>
  <c r="F29" i="48"/>
  <c r="F28" i="48"/>
  <c r="F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F5" i="48"/>
  <c r="A1" i="48"/>
  <c r="F69" i="47"/>
  <c r="F68" i="47"/>
  <c r="F67" i="47"/>
  <c r="F66" i="47"/>
  <c r="F65" i="47"/>
  <c r="F64" i="47"/>
  <c r="F63" i="47"/>
  <c r="F62" i="47"/>
  <c r="F61" i="47"/>
  <c r="F60" i="47"/>
  <c r="F59" i="47"/>
  <c r="F58" i="47"/>
  <c r="F57" i="47"/>
  <c r="F56" i="47"/>
  <c r="F55" i="47"/>
  <c r="F54" i="47"/>
  <c r="F53" i="47"/>
  <c r="F52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F5" i="47"/>
  <c r="A1" i="47"/>
  <c r="F64" i="46"/>
  <c r="F63" i="46"/>
  <c r="F62" i="46"/>
  <c r="F61" i="46"/>
  <c r="F60" i="46"/>
  <c r="F59" i="46"/>
  <c r="F58" i="46"/>
  <c r="F57" i="46"/>
  <c r="F56" i="46"/>
  <c r="F55" i="46"/>
  <c r="F54" i="46"/>
  <c r="F53" i="46"/>
  <c r="F52" i="46"/>
  <c r="F51" i="46"/>
  <c r="F50" i="46"/>
  <c r="F49" i="46"/>
  <c r="F48" i="46"/>
  <c r="F47" i="46"/>
  <c r="F46" i="46"/>
  <c r="F45" i="46"/>
  <c r="F44" i="46"/>
  <c r="F43" i="46"/>
  <c r="F42" i="46"/>
  <c r="F41" i="46"/>
  <c r="F40" i="46"/>
  <c r="F39" i="46"/>
  <c r="F38" i="46"/>
  <c r="F37" i="46"/>
  <c r="F36" i="46"/>
  <c r="F35" i="46"/>
  <c r="F34" i="46"/>
  <c r="F33" i="46"/>
  <c r="F32" i="46"/>
  <c r="F31" i="46"/>
  <c r="F30" i="46"/>
  <c r="F29" i="46"/>
  <c r="F28" i="46"/>
  <c r="F27" i="46"/>
  <c r="F26" i="46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F5" i="46"/>
  <c r="A1" i="46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5" i="45"/>
  <c r="A1" i="45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" i="44"/>
  <c r="A1" i="44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5" i="43"/>
  <c r="A1" i="43"/>
  <c r="F50" i="42"/>
  <c r="F49" i="42"/>
  <c r="F48" i="42"/>
  <c r="F47" i="42"/>
  <c r="F46" i="42"/>
  <c r="F45" i="42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31" i="42"/>
  <c r="F30" i="42"/>
  <c r="F29" i="42"/>
  <c r="F28" i="42"/>
  <c r="F27" i="42"/>
  <c r="F26" i="42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5" i="42"/>
  <c r="A1" i="42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" i="41"/>
  <c r="A1" i="41"/>
  <c r="F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" i="40"/>
  <c r="A1" i="40"/>
  <c r="F12" i="39"/>
  <c r="F11" i="39"/>
  <c r="F10" i="39"/>
  <c r="F9" i="39"/>
  <c r="F8" i="39"/>
  <c r="F7" i="39"/>
  <c r="F6" i="39"/>
  <c r="F5" i="39"/>
  <c r="A1" i="39"/>
  <c r="F15" i="38"/>
  <c r="F14" i="38"/>
  <c r="F13" i="38"/>
  <c r="F12" i="38"/>
  <c r="F11" i="38"/>
  <c r="F10" i="38"/>
  <c r="F9" i="38"/>
  <c r="F8" i="38"/>
  <c r="F7" i="38"/>
  <c r="F6" i="38"/>
  <c r="F5" i="38"/>
  <c r="A1" i="38"/>
  <c r="F11" i="37"/>
  <c r="F10" i="37"/>
  <c r="F9" i="37"/>
  <c r="F8" i="37"/>
  <c r="F7" i="37"/>
  <c r="F6" i="37"/>
  <c r="F5" i="37"/>
  <c r="A1" i="37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6" i="36"/>
  <c r="F5" i="36"/>
  <c r="A1" i="36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7" i="35"/>
  <c r="F6" i="35"/>
  <c r="F5" i="35"/>
  <c r="A1" i="35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F5" i="34"/>
  <c r="A1" i="34"/>
  <c r="F74" i="33"/>
  <c r="F73" i="33"/>
  <c r="F72" i="33"/>
  <c r="F71" i="33"/>
  <c r="F70" i="33"/>
  <c r="F69" i="33"/>
  <c r="F68" i="33"/>
  <c r="F67" i="33"/>
  <c r="F66" i="33"/>
  <c r="F65" i="33"/>
  <c r="F64" i="33"/>
  <c r="F63" i="33"/>
  <c r="F62" i="33"/>
  <c r="F61" i="33"/>
  <c r="F60" i="33"/>
  <c r="F59" i="33"/>
  <c r="F58" i="33"/>
  <c r="F57" i="33"/>
  <c r="F56" i="33"/>
  <c r="F55" i="33"/>
  <c r="F54" i="33"/>
  <c r="F53" i="33"/>
  <c r="F52" i="33"/>
  <c r="F51" i="33"/>
  <c r="F50" i="33"/>
  <c r="F49" i="33"/>
  <c r="F48" i="33"/>
  <c r="F47" i="33"/>
  <c r="F46" i="33"/>
  <c r="F45" i="33"/>
  <c r="F44" i="33"/>
  <c r="F43" i="33"/>
  <c r="F42" i="33"/>
  <c r="F41" i="33"/>
  <c r="F40" i="33"/>
  <c r="F39" i="33"/>
  <c r="F38" i="33"/>
  <c r="F37" i="33"/>
  <c r="F36" i="33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7" i="33"/>
  <c r="F16" i="33"/>
  <c r="F15" i="33"/>
  <c r="F14" i="33"/>
  <c r="F13" i="33"/>
  <c r="F12" i="33"/>
  <c r="F11" i="33"/>
  <c r="F10" i="33"/>
  <c r="F9" i="33"/>
  <c r="F8" i="33"/>
  <c r="F7" i="33"/>
  <c r="F6" i="33"/>
  <c r="F5" i="33"/>
  <c r="A1" i="33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A1" i="32"/>
  <c r="F16" i="31"/>
  <c r="F15" i="31"/>
  <c r="F14" i="31"/>
  <c r="F13" i="31"/>
  <c r="F12" i="31"/>
  <c r="F11" i="31"/>
  <c r="F10" i="31"/>
  <c r="F9" i="31"/>
  <c r="F8" i="31"/>
  <c r="F7" i="31"/>
  <c r="F6" i="31"/>
  <c r="F5" i="31"/>
  <c r="A1" i="31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F5" i="30"/>
  <c r="A1" i="30"/>
  <c r="F16" i="29"/>
  <c r="F15" i="29"/>
  <c r="F14" i="29"/>
  <c r="F13" i="29"/>
  <c r="F12" i="29"/>
  <c r="F11" i="29"/>
  <c r="F10" i="29"/>
  <c r="F9" i="29"/>
  <c r="F8" i="29"/>
  <c r="F7" i="29"/>
  <c r="F6" i="29"/>
  <c r="F5" i="29"/>
  <c r="A1" i="29"/>
  <c r="F14" i="28"/>
  <c r="F13" i="28"/>
  <c r="F12" i="28"/>
  <c r="F11" i="28"/>
  <c r="F10" i="28"/>
  <c r="F9" i="28"/>
  <c r="F8" i="28"/>
  <c r="F7" i="28"/>
  <c r="F6" i="28"/>
  <c r="F5" i="28"/>
  <c r="A1" i="28"/>
  <c r="F15" i="27"/>
  <c r="F14" i="27"/>
  <c r="F13" i="27"/>
  <c r="F12" i="27"/>
  <c r="F11" i="27"/>
  <c r="F10" i="27"/>
  <c r="F9" i="27"/>
  <c r="F8" i="27"/>
  <c r="F7" i="27"/>
  <c r="F6" i="27"/>
  <c r="F5" i="27"/>
  <c r="A1" i="27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A1" i="26"/>
  <c r="F12" i="25"/>
  <c r="F11" i="25"/>
  <c r="F10" i="25"/>
  <c r="F9" i="25"/>
  <c r="F8" i="25"/>
  <c r="F7" i="25"/>
  <c r="F6" i="25"/>
  <c r="F5" i="25"/>
  <c r="A1" i="25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A1" i="24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5" i="23"/>
  <c r="A1" i="23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A1" i="22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A1" i="21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A1" i="20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A1" i="19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A1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A1" i="17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A1" i="16"/>
  <c r="F10" i="15"/>
  <c r="F9" i="15"/>
  <c r="F8" i="15"/>
  <c r="F7" i="15"/>
  <c r="F6" i="15"/>
  <c r="F5" i="15"/>
  <c r="A1" i="15"/>
  <c r="F7" i="14"/>
  <c r="F6" i="14"/>
  <c r="F5" i="14"/>
  <c r="A1" i="14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A1" i="13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A1" i="12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A1" i="11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A1" i="10"/>
  <c r="F16" i="9"/>
  <c r="F15" i="9"/>
  <c r="F14" i="9"/>
  <c r="F13" i="9"/>
  <c r="F12" i="9"/>
  <c r="F11" i="9"/>
  <c r="F10" i="9"/>
  <c r="F9" i="9"/>
  <c r="F8" i="9"/>
  <c r="F7" i="9"/>
  <c r="F6" i="9"/>
  <c r="F5" i="9"/>
  <c r="A1" i="9"/>
  <c r="F7" i="8"/>
  <c r="F6" i="8"/>
  <c r="F5" i="8"/>
  <c r="A1" i="8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A1" i="7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A1" i="6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A1" i="5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A1" i="4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A1" i="3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A1" i="2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</calcChain>
</file>

<file path=xl/sharedStrings.xml><?xml version="1.0" encoding="utf-8"?>
<sst xmlns="http://schemas.openxmlformats.org/spreadsheetml/2006/main" count="8421" uniqueCount="2216">
  <si>
    <t>Pcx</t>
  </si>
  <si>
    <t>ENSMUSG00000026535</t>
  </si>
  <si>
    <t>ENSMUSG00000020190</t>
  </si>
  <si>
    <t>Pmvk</t>
  </si>
  <si>
    <t>ENSMUSG00000038894</t>
  </si>
  <si>
    <t>Sos1</t>
  </si>
  <si>
    <t>ENSMUSG00000052632</t>
  </si>
  <si>
    <t>ENSMUSG00000046879</t>
  </si>
  <si>
    <t>ENSMUSG00000018774</t>
  </si>
  <si>
    <t>B2m</t>
  </si>
  <si>
    <t>Ngfr</t>
  </si>
  <si>
    <t>ENSMUSG00000023885</t>
  </si>
  <si>
    <t>Hes1</t>
  </si>
  <si>
    <t>ENSMUSG00000019487</t>
  </si>
  <si>
    <t>ENSMUSG00000020758</t>
  </si>
  <si>
    <t>Bcl2</t>
  </si>
  <si>
    <t>ENSMUSG00000073889</t>
  </si>
  <si>
    <t>Amph</t>
  </si>
  <si>
    <t>ENSMUSG00000026430</t>
  </si>
  <si>
    <t>ENSMUSG00000024044</t>
  </si>
  <si>
    <t>Dag1</t>
  </si>
  <si>
    <t>ENSMUSG00000038332</t>
  </si>
  <si>
    <t>ENSMUSG00000035042</t>
  </si>
  <si>
    <t>Cebpb</t>
  </si>
  <si>
    <t>ENSMUSG00000017737</t>
  </si>
  <si>
    <t>ENSMUSG00000045827</t>
  </si>
  <si>
    <t>ENSMUSG00000020063</t>
  </si>
  <si>
    <t>Ezr</t>
  </si>
  <si>
    <t>ENSMUSG00000021760</t>
  </si>
  <si>
    <t>ENSMUSG00000004947</t>
  </si>
  <si>
    <t>Gh</t>
  </si>
  <si>
    <t>ENSMUSG00000020366</t>
  </si>
  <si>
    <t>Mllt4</t>
  </si>
  <si>
    <t>ENSMUSG00000018209</t>
  </si>
  <si>
    <t>Ftl1</t>
  </si>
  <si>
    <t>ENSMUSG00000033318</t>
  </si>
  <si>
    <t>Tab1</t>
  </si>
  <si>
    <t>ENSMUSG00000024190</t>
  </si>
  <si>
    <t>ENSMUSG00000070284</t>
  </si>
  <si>
    <t>ENSMUSG00000001270</t>
  </si>
  <si>
    <t>Adcy5</t>
  </si>
  <si>
    <t>Adcy6</t>
  </si>
  <si>
    <t>Amoebiasis - Mus musculus (mouse)</t>
  </si>
  <si>
    <t>Ppap2c</t>
  </si>
  <si>
    <t>Adcy1</t>
  </si>
  <si>
    <t>Adcy2</t>
  </si>
  <si>
    <t>Gga3</t>
  </si>
  <si>
    <t>Gga2</t>
  </si>
  <si>
    <t>ENSMUSG00000019139</t>
  </si>
  <si>
    <t>ENSMUSG00000024639</t>
  </si>
  <si>
    <t>Lama3</t>
  </si>
  <si>
    <t>Lama4</t>
  </si>
  <si>
    <t>Lama5</t>
  </si>
  <si>
    <t>Per1</t>
  </si>
  <si>
    <t>Gng12</t>
  </si>
  <si>
    <t>ENSMUSG00000000782</t>
  </si>
  <si>
    <t>ENSMUSG00000022865</t>
  </si>
  <si>
    <t>ENSMUSG00000020962</t>
  </si>
  <si>
    <t>ENSMUSG00000024998</t>
  </si>
  <si>
    <t>ENSMUSG00000027536</t>
  </si>
  <si>
    <t>Cxcl1</t>
  </si>
  <si>
    <t>ENSMUSG00000001891</t>
  </si>
  <si>
    <t>Calm4</t>
  </si>
  <si>
    <t>Slc17a5</t>
  </si>
  <si>
    <t>ENSMUSG00000007891</t>
  </si>
  <si>
    <t>ENSMUSG00000030793</t>
  </si>
  <si>
    <t>ENSMUSG00000040265</t>
  </si>
  <si>
    <t>P2rx3</t>
  </si>
  <si>
    <t>P2rx4</t>
  </si>
  <si>
    <t>Pdxk</t>
  </si>
  <si>
    <t>Psmd4</t>
  </si>
  <si>
    <t>Psmd7</t>
  </si>
  <si>
    <t>Psmd6</t>
  </si>
  <si>
    <t>Psmd1</t>
  </si>
  <si>
    <t>ENSMUSG00000023328</t>
  </si>
  <si>
    <t>ENSMUSG00000027332</t>
  </si>
  <si>
    <t>ENSMUSG00000071713</t>
  </si>
  <si>
    <t>Stam</t>
  </si>
  <si>
    <t>ENSMUSG00000016933</t>
  </si>
  <si>
    <t>ENSMUSG00000071714</t>
  </si>
  <si>
    <t>ENSMUSG00000071715</t>
  </si>
  <si>
    <t>Cmah</t>
  </si>
  <si>
    <t>Toll-like receptor signaling pathway - Mus musculus (mouse)</t>
  </si>
  <si>
    <t>ENSMUSG00000037211</t>
  </si>
  <si>
    <t>ENSMUSG00000030530</t>
  </si>
  <si>
    <t>ENSMUSG00000073409</t>
  </si>
  <si>
    <t>ENSMUSG00000030536</t>
  </si>
  <si>
    <t>ENSMUSG00000023439</t>
  </si>
  <si>
    <t>Gria3</t>
  </si>
  <si>
    <t>Mras</t>
  </si>
  <si>
    <t>Serpinb6b</t>
  </si>
  <si>
    <t>ENSMUSG00000062312</t>
  </si>
  <si>
    <t>L1cam</t>
  </si>
  <si>
    <t>Fgf21</t>
  </si>
  <si>
    <t>ENSMUSG00000055723</t>
  </si>
  <si>
    <t>Cyfip2</t>
  </si>
  <si>
    <t>ENSMUSG00000062070</t>
  </si>
  <si>
    <t>Acat1</t>
  </si>
  <si>
    <t>ENSMUSG00000031207</t>
  </si>
  <si>
    <t>ENSMUSG00000026576</t>
  </si>
  <si>
    <t>Cd8b1</t>
  </si>
  <si>
    <t>ENSMUSG00000022052</t>
  </si>
  <si>
    <t>Foxo3</t>
  </si>
  <si>
    <t>Foxo1</t>
  </si>
  <si>
    <t>ENSMUSG00000003228</t>
  </si>
  <si>
    <t>Mmp14</t>
  </si>
  <si>
    <t>ENSMUSG00000038264</t>
  </si>
  <si>
    <t>ENSMUSG00000022676</t>
  </si>
  <si>
    <t>ENSMUSG00000025586</t>
  </si>
  <si>
    <t>Nlk</t>
  </si>
  <si>
    <t>Tph1</t>
  </si>
  <si>
    <t>ENSMUSG00000025477</t>
  </si>
  <si>
    <t>ENSMUSG00000047501</t>
  </si>
  <si>
    <t>ENSMUSG00000025278</t>
  </si>
  <si>
    <t>Igtp</t>
  </si>
  <si>
    <t>ENSMUSG00000025270</t>
  </si>
  <si>
    <t>Rsad2</t>
  </si>
  <si>
    <t>Neu2</t>
  </si>
  <si>
    <t>ENSMUSG00000049093</t>
  </si>
  <si>
    <t>Klk1b11</t>
  </si>
  <si>
    <t>ENSMUSG00000026923</t>
  </si>
  <si>
    <t>ENSMUSG00000023235</t>
  </si>
  <si>
    <t>ENSMUSG00000022475</t>
  </si>
  <si>
    <t>Irf7</t>
  </si>
  <si>
    <t>Irf5</t>
  </si>
  <si>
    <t>Irf9</t>
  </si>
  <si>
    <t>Irf8</t>
  </si>
  <si>
    <t>ENSMUSG00000027605</t>
  </si>
  <si>
    <t>ENSMUSG00000022479</t>
  </si>
  <si>
    <t>ENSMUSG00000036960</t>
  </si>
  <si>
    <t>ENSMUSG00000021109</t>
  </si>
  <si>
    <t>ENSMUSG00000027351</t>
  </si>
  <si>
    <t>Cyanoamino acid metabolism - Mus musculus (mouse)</t>
  </si>
  <si>
    <t>ENSMUSG00000020184</t>
  </si>
  <si>
    <t>ENSMUSG00000028402</t>
  </si>
  <si>
    <t>ENSMUSG00000038886</t>
  </si>
  <si>
    <t>Sgpp1</t>
  </si>
  <si>
    <t>Slc46a1</t>
  </si>
  <si>
    <t>ENSMUSG00000068335</t>
  </si>
  <si>
    <t>NOD-like receptor signaling pathway - Mus musculus (mouse)</t>
  </si>
  <si>
    <t>Il11ra1</t>
  </si>
  <si>
    <t>ENSMUSG00000032301</t>
  </si>
  <si>
    <t>ENSMUSG00000020740</t>
  </si>
  <si>
    <t>ENSMUSG00000032306</t>
  </si>
  <si>
    <t>ENSMUSG00000017291</t>
  </si>
  <si>
    <t>ENSMUSG00000006304</t>
  </si>
  <si>
    <t>Dusp16</t>
  </si>
  <si>
    <t>ENSMUSG00000061838</t>
  </si>
  <si>
    <t>ENSMUSG00000042333</t>
  </si>
  <si>
    <t>Marcks</t>
  </si>
  <si>
    <t>Flna</t>
  </si>
  <si>
    <t>Flnb</t>
  </si>
  <si>
    <t>Lass3</t>
  </si>
  <si>
    <t>Tollip</t>
  </si>
  <si>
    <t>ENSMUSG00000061046</t>
  </si>
  <si>
    <t>ENSMUSG00000032015</t>
  </si>
  <si>
    <t>Oat</t>
  </si>
  <si>
    <t>H2-Q10</t>
  </si>
  <si>
    <t>ENSMUSG00000022295</t>
  </si>
  <si>
    <t>ENSMUSG00000004936</t>
  </si>
  <si>
    <t>ENSMUSG00000009356</t>
  </si>
  <si>
    <t>ENSMUSG00000004933</t>
  </si>
  <si>
    <t>ENSMUSG00000022905</t>
  </si>
  <si>
    <t>Graft-versus-host disease - Mus musculus (mouse)</t>
  </si>
  <si>
    <t>ENSMUSG00000022901</t>
  </si>
  <si>
    <t>Gstm2</t>
  </si>
  <si>
    <t>ENSMUSG00000070473</t>
  </si>
  <si>
    <t>ENSMUSG00000044674</t>
  </si>
  <si>
    <t>Bbc3</t>
  </si>
  <si>
    <t>ENSMUSG00000032470</t>
  </si>
  <si>
    <t>Alas1</t>
  </si>
  <si>
    <t>Vim</t>
  </si>
  <si>
    <t>ENSMUSG00000004843</t>
  </si>
  <si>
    <t>ENSMUSG00000019851</t>
  </si>
  <si>
    <t>ENSMUSG00000019850</t>
  </si>
  <si>
    <t>ENSMUSG00000022122</t>
  </si>
  <si>
    <t>ENSMUSG00000044279</t>
  </si>
  <si>
    <t>Cd274</t>
  </si>
  <si>
    <t>Pold4</t>
  </si>
  <si>
    <t>ENSMUSG00000019122</t>
  </si>
  <si>
    <t>Glycine, serine and threonine metabolism - Mus musculus (mouse)</t>
  </si>
  <si>
    <t>Ednrb</t>
  </si>
  <si>
    <t>ENSMUSG00000030653</t>
  </si>
  <si>
    <t>Sesn1</t>
  </si>
  <si>
    <t>Bdkrb2</t>
  </si>
  <si>
    <t>Hdac5</t>
  </si>
  <si>
    <t>Hdac7</t>
  </si>
  <si>
    <t>Hdac9</t>
  </si>
  <si>
    <t>ENSMUSG00000053719</t>
  </si>
  <si>
    <t>Notch1</t>
  </si>
  <si>
    <t>ENSMUSG00000079037</t>
  </si>
  <si>
    <t>ENSMUSG00000024235</t>
  </si>
  <si>
    <t>ENSMUSG00000024981</t>
  </si>
  <si>
    <t>Fc epsilon RI signaling pathway - Mus musculus (mouse)</t>
  </si>
  <si>
    <t>ENSMUSG00000041135</t>
  </si>
  <si>
    <t>Rara</t>
  </si>
  <si>
    <t>ENSMUSG00000016921</t>
  </si>
  <si>
    <t>Pde2a</t>
  </si>
  <si>
    <t>ENSMUSG00000027293</t>
  </si>
  <si>
    <t>Dsg1a</t>
  </si>
  <si>
    <t>Dsg1b</t>
  </si>
  <si>
    <t>mgi_symbol</t>
  </si>
  <si>
    <t>ENSMUSG00000036840</t>
  </si>
  <si>
    <t>ENSMUSG00000027999</t>
  </si>
  <si>
    <t>ENSMUSG00000027187</t>
  </si>
  <si>
    <t>ENSMUSG00000005413</t>
  </si>
  <si>
    <t>ENSMUSG00000024521</t>
  </si>
  <si>
    <t>Psme2</t>
  </si>
  <si>
    <t>ENSMUSG00000041220</t>
  </si>
  <si>
    <t>ENSMUSG00000033059</t>
  </si>
  <si>
    <t>Psme1</t>
  </si>
  <si>
    <t>Ganc</t>
  </si>
  <si>
    <t>Fatty acid elongation - Mus musculus (mouse)</t>
  </si>
  <si>
    <t>ENSMUSG00000041736</t>
  </si>
  <si>
    <t>Myl12b</t>
  </si>
  <si>
    <t>Gnpda2</t>
  </si>
  <si>
    <t>ENSMUSG00000067212</t>
  </si>
  <si>
    <t>Gnpda1</t>
  </si>
  <si>
    <t>Sgpl1</t>
  </si>
  <si>
    <t>ENSMUSG00000000340</t>
  </si>
  <si>
    <t>ENSMUSG00000040998</t>
  </si>
  <si>
    <t>Tnfrsf12a</t>
  </si>
  <si>
    <t>ENSMUSG00000058715</t>
  </si>
  <si>
    <t>Myh15</t>
  </si>
  <si>
    <t>ENSMUSG00000027071</t>
  </si>
  <si>
    <t>Syk</t>
  </si>
  <si>
    <t>Hadha</t>
  </si>
  <si>
    <t>ENSMUSG00000027984</t>
  </si>
  <si>
    <t>Glutathione metabolism - Mus musculus (mouse)</t>
  </si>
  <si>
    <t>ENSMUSG00000071633</t>
  </si>
  <si>
    <t>ENSMUSG00000062300</t>
  </si>
  <si>
    <t>Spry1</t>
  </si>
  <si>
    <t>ENSMUSG00000038648</t>
  </si>
  <si>
    <t>ENSMUSG00000026104</t>
  </si>
  <si>
    <t>ENSMUSG00000003814</t>
  </si>
  <si>
    <t>ENSMUSG00000038642</t>
  </si>
  <si>
    <t>Fgf11</t>
  </si>
  <si>
    <t>ENSMUSG00000022114</t>
  </si>
  <si>
    <t>ENSMUSG00000003812</t>
  </si>
  <si>
    <t>Fgf14</t>
  </si>
  <si>
    <t>ENSMUSG00000048756</t>
  </si>
  <si>
    <t>Pygb</t>
  </si>
  <si>
    <t>ENSMUSG00000030341</t>
  </si>
  <si>
    <t>ENSMUSG00000031740</t>
  </si>
  <si>
    <t>Bladder cancer - Mus musculus (mouse)</t>
  </si>
  <si>
    <t>Rfwd2</t>
  </si>
  <si>
    <t>ENSMUSG00000031749</t>
  </si>
  <si>
    <t>ENSMUSG00000073411</t>
  </si>
  <si>
    <t>ENSMUSG00000026566</t>
  </si>
  <si>
    <t>Cd44</t>
  </si>
  <si>
    <t>Cd47</t>
  </si>
  <si>
    <t>ENSMUSG00000031328</t>
  </si>
  <si>
    <t>Cd40</t>
  </si>
  <si>
    <t>ENSMUSG00000040770</t>
  </si>
  <si>
    <t>ENSMUSG00000062248</t>
  </si>
  <si>
    <t>ENSMUSG00000039682</t>
  </si>
  <si>
    <t>Ocln</t>
  </si>
  <si>
    <t>Glutamatergic synapse - Mus musculus (mouse)</t>
  </si>
  <si>
    <t>ENSMUSG00000090231</t>
  </si>
  <si>
    <t>Scin</t>
  </si>
  <si>
    <t>Pip5k1b</t>
  </si>
  <si>
    <t>Ccng2</t>
  </si>
  <si>
    <t>ENSMUSG00000034557</t>
  </si>
  <si>
    <t>ENSMUSG00000025260</t>
  </si>
  <si>
    <t>Gcnt4</t>
  </si>
  <si>
    <t>H2-D1</t>
  </si>
  <si>
    <t>Gcnt1</t>
  </si>
  <si>
    <t>Morphine addiction - Mus musculus (mouse)</t>
  </si>
  <si>
    <t>ENSMUSG00000020427</t>
  </si>
  <si>
    <t>F2r</t>
  </si>
  <si>
    <t>Col27a1</t>
  </si>
  <si>
    <t>Bckdhb</t>
  </si>
  <si>
    <t>ENSMUSG00000037624</t>
  </si>
  <si>
    <t>ENSMUSG00000022489</t>
  </si>
  <si>
    <t>ENSMUSG00000025647</t>
  </si>
  <si>
    <t>Cdc27</t>
  </si>
  <si>
    <t>ENSMUSG00000034330</t>
  </si>
  <si>
    <t>Inpp1</t>
  </si>
  <si>
    <t>ENSMUSG00000037992</t>
  </si>
  <si>
    <t>Rheumatoid arthritis - Mus musculus (mouse)</t>
  </si>
  <si>
    <t>ENSMUSG00000025139</t>
  </si>
  <si>
    <t>ENSMUSG00000028413</t>
  </si>
  <si>
    <t>Irak3</t>
  </si>
  <si>
    <t>ENSMUSG00000035847</t>
  </si>
  <si>
    <t>ENSMUSG00000028525</t>
  </si>
  <si>
    <t>Il20rb</t>
  </si>
  <si>
    <t>Ppap2a</t>
  </si>
  <si>
    <t>ENSMUSG00000025739</t>
  </si>
  <si>
    <t>Sdc1</t>
  </si>
  <si>
    <t>Sdc3</t>
  </si>
  <si>
    <t>Sdc4</t>
  </si>
  <si>
    <t>ENSMUSG00000034424</t>
  </si>
  <si>
    <t>Mapk14</t>
  </si>
  <si>
    <t>Grin2c</t>
  </si>
  <si>
    <t>ENSMUSG00000016024</t>
  </si>
  <si>
    <t>Itgal</t>
  </si>
  <si>
    <t>Grin2d</t>
  </si>
  <si>
    <t>Mapk13</t>
  </si>
  <si>
    <t>ENSMUSG00000021608</t>
  </si>
  <si>
    <t>ENSMUSG00000020734</t>
  </si>
  <si>
    <t>ENSMUSG00000061232</t>
  </si>
  <si>
    <t>Gtf2e2</t>
  </si>
  <si>
    <t>Lysosome - Mus musculus (mouse)</t>
  </si>
  <si>
    <t>ENSMUSG00000008763</t>
  </si>
  <si>
    <t>ENSMUSG00000026031</t>
  </si>
  <si>
    <t>ENSMUSG00000006378</t>
  </si>
  <si>
    <t>Gcsh</t>
  </si>
  <si>
    <t>ENSMUSG00000016756</t>
  </si>
  <si>
    <t>NF-kappa B signaling pathway - Mus musculus (mouse)</t>
  </si>
  <si>
    <t>Mpdz</t>
  </si>
  <si>
    <t>Itga3</t>
  </si>
  <si>
    <t>Itga6</t>
  </si>
  <si>
    <t>Man1b1</t>
  </si>
  <si>
    <t>Cdk1</t>
  </si>
  <si>
    <t>ENSMUSG00000020641</t>
  </si>
  <si>
    <t>Acadsb</t>
  </si>
  <si>
    <t>ENSMUSG00000004267</t>
  </si>
  <si>
    <t>Trip10</t>
  </si>
  <si>
    <t>ENSMUSG00000023992</t>
  </si>
  <si>
    <t>ENSMUSG00000032009</t>
  </si>
  <si>
    <t>ENSMUSG00000020649</t>
  </si>
  <si>
    <t>ENSMUSG00000074141</t>
  </si>
  <si>
    <t>Cr2</t>
  </si>
  <si>
    <t>Ctsc</t>
  </si>
  <si>
    <t>Tpcn2</t>
  </si>
  <si>
    <t>Pde1c</t>
  </si>
  <si>
    <t>Pde1b</t>
  </si>
  <si>
    <t>ENSMUSG00000020340</t>
  </si>
  <si>
    <t>Psat1</t>
  </si>
  <si>
    <t>ENSMUSG00000036402</t>
  </si>
  <si>
    <t>Pde4b</t>
  </si>
  <si>
    <t>ENSMUSG00000062646</t>
  </si>
  <si>
    <t>ENSMUSG00000017376</t>
  </si>
  <si>
    <t>ENSMUSG00000032462</t>
  </si>
  <si>
    <t>ENSMUSG00000032263</t>
  </si>
  <si>
    <t>ENSMUSG00000024421</t>
  </si>
  <si>
    <t>C3</t>
  </si>
  <si>
    <t>C2</t>
  </si>
  <si>
    <t>ENSMUSG00000027513</t>
  </si>
  <si>
    <t>ENSMUSG00000005087</t>
  </si>
  <si>
    <t>ENSMUSG00000027514</t>
  </si>
  <si>
    <t>ENSMUSG00000028048</t>
  </si>
  <si>
    <t>ENSMUSG00000050288</t>
  </si>
  <si>
    <t>ENSMUSG00000038416</t>
  </si>
  <si>
    <t>ENSMUSG00000019489</t>
  </si>
  <si>
    <t>Ap1s2</t>
  </si>
  <si>
    <t>Crk</t>
  </si>
  <si>
    <t>ENSMUSG00000038418</t>
  </si>
  <si>
    <t>ENSMUSG00000036499</t>
  </si>
  <si>
    <t>Orai2</t>
  </si>
  <si>
    <t>ENSMUSG00000024085</t>
  </si>
  <si>
    <t>ENSMUSG00000024087</t>
  </si>
  <si>
    <t>Clca4</t>
  </si>
  <si>
    <t>Phenylalanine metabolism - Mus musculus (mouse)</t>
  </si>
  <si>
    <t>Pancreatic secretion - Mus musculus (mouse)</t>
  </si>
  <si>
    <t>ENSMUSG00000070390</t>
  </si>
  <si>
    <t>ENSMUSG00000001323</t>
  </si>
  <si>
    <t>ENSMUSG00000033192</t>
  </si>
  <si>
    <t>Prkar1a</t>
  </si>
  <si>
    <t>Cacna1h</t>
  </si>
  <si>
    <t>Wwp1</t>
  </si>
  <si>
    <t>Cks2</t>
  </si>
  <si>
    <t>Cacna1b</t>
  </si>
  <si>
    <t>ENSMUSG00000038521</t>
  </si>
  <si>
    <t>Ehd4</t>
  </si>
  <si>
    <t>Impad1</t>
  </si>
  <si>
    <t>ENSMUSG00000005534</t>
  </si>
  <si>
    <t>Gng13</t>
  </si>
  <si>
    <t>ENSMUSG00000005533</t>
  </si>
  <si>
    <t>ENSMUSG00000024556</t>
  </si>
  <si>
    <t>ENSMUSG00000000120</t>
  </si>
  <si>
    <t>Cd4</t>
  </si>
  <si>
    <t>ENSMUSG00000048376</t>
  </si>
  <si>
    <t>ENSMUSG00000043857</t>
  </si>
  <si>
    <t>ENSMUSG00000026778</t>
  </si>
  <si>
    <t>ENSMUSG00000026770</t>
  </si>
  <si>
    <t>Ache</t>
  </si>
  <si>
    <t>ENSMUSG00000026773</t>
  </si>
  <si>
    <t>ENSMUSG00000033730</t>
  </si>
  <si>
    <t>ENSMUSG00000026480</t>
  </si>
  <si>
    <t>ENSMUSG00000072423</t>
  </si>
  <si>
    <t>Rassf5</t>
  </si>
  <si>
    <t>ENSMUSG00000031591</t>
  </si>
  <si>
    <t>Alas2</t>
  </si>
  <si>
    <t>ENSMUSG00000005625</t>
  </si>
  <si>
    <t>Dnm3</t>
  </si>
  <si>
    <t>Tyk2</t>
  </si>
  <si>
    <t>ENSMUSG00000030510</t>
  </si>
  <si>
    <t>Sphk1</t>
  </si>
  <si>
    <t>ENSMUSG00000004043</t>
  </si>
  <si>
    <t>ENSMUSG00000004040</t>
  </si>
  <si>
    <t>ENSMUSG00000027776</t>
  </si>
  <si>
    <t>Cybrd1</t>
  </si>
  <si>
    <t>ENSMUSG00000023456</t>
  </si>
  <si>
    <t>ENSMUSG00000038633</t>
  </si>
  <si>
    <t>ENSMUSG00000022797</t>
  </si>
  <si>
    <t>Gabarapl1</t>
  </si>
  <si>
    <t>Cxcl2</t>
  </si>
  <si>
    <t>ENSMUSG00000031779</t>
  </si>
  <si>
    <t>Bai1</t>
  </si>
  <si>
    <t>Mapk9</t>
  </si>
  <si>
    <t>ENSMUSG00000004266</t>
  </si>
  <si>
    <t>ENSMUSG00000026003</t>
  </si>
  <si>
    <t>Cd34</t>
  </si>
  <si>
    <t>ENSMUSG00000057880</t>
  </si>
  <si>
    <t>Cxcl9</t>
  </si>
  <si>
    <t>ENSMUSG00000038740</t>
  </si>
  <si>
    <t>ENSMUSG00000057963</t>
  </si>
  <si>
    <t>ENSMUSG00000022074</t>
  </si>
  <si>
    <t>Gcat</t>
  </si>
  <si>
    <t>ENSMUSG00000026896</t>
  </si>
  <si>
    <t>ENSMUSG00000057969</t>
  </si>
  <si>
    <t>Gaa</t>
  </si>
  <si>
    <t>ENSMUSG00000026395</t>
  </si>
  <si>
    <t>ENSMUSG00000042826</t>
  </si>
  <si>
    <t>Sat1</t>
  </si>
  <si>
    <t>Gng2</t>
  </si>
  <si>
    <t>Ehd1</t>
  </si>
  <si>
    <t>ENSMUSG00000038242</t>
  </si>
  <si>
    <t>Trf</t>
  </si>
  <si>
    <t>ENSMUSG00000032050</t>
  </si>
  <si>
    <t>ENSMUSG00000009621</t>
  </si>
  <si>
    <t>Mylpf</t>
  </si>
  <si>
    <t>Abl1</t>
  </si>
  <si>
    <t>ENSMUSG00000029605</t>
  </si>
  <si>
    <t>ENSMUSG00000022656</t>
  </si>
  <si>
    <t>Neurotrophin signaling pathway - Mus musculus (mouse)</t>
  </si>
  <si>
    <t>ENSMUSG00000057367</t>
  </si>
  <si>
    <t>ENSMUSG00000057363</t>
  </si>
  <si>
    <t>Cdh4</t>
  </si>
  <si>
    <t>ENSMUSG00000022257</t>
  </si>
  <si>
    <t>Arc</t>
  </si>
  <si>
    <t>Lyn</t>
  </si>
  <si>
    <t>Gphn</t>
  </si>
  <si>
    <t>Cd3g</t>
  </si>
  <si>
    <t>ENSMUSG00000026824</t>
  </si>
  <si>
    <t>Cytokine-cytokine receptor interaction - Mus musculus (mouse)</t>
  </si>
  <si>
    <t>ENSMUSG00000021125</t>
  </si>
  <si>
    <t>Camk2d</t>
  </si>
  <si>
    <t>Camk2g</t>
  </si>
  <si>
    <t>Camk2b</t>
  </si>
  <si>
    <t>ENSMUSG00000028645</t>
  </si>
  <si>
    <t>ENSMUSG00000028883</t>
  </si>
  <si>
    <t>Cpeb1</t>
  </si>
  <si>
    <t>ENSMUSG00000022496</t>
  </si>
  <si>
    <t>Lifr</t>
  </si>
  <si>
    <t>ENSMUSG00000052516</t>
  </si>
  <si>
    <t>Tmem173</t>
  </si>
  <si>
    <t>Amotl1</t>
  </si>
  <si>
    <t>ENSMUSG00000029426</t>
  </si>
  <si>
    <t>Rdx</t>
  </si>
  <si>
    <t>ENSMUSG00000034855</t>
  </si>
  <si>
    <t>ENSMUSG00000062929</t>
  </si>
  <si>
    <t>Gsn</t>
  </si>
  <si>
    <t>Ephb4</t>
  </si>
  <si>
    <t>ENSMUSG00000043445</t>
  </si>
  <si>
    <t>ENSMUSG00000035692</t>
  </si>
  <si>
    <t>Hk2</t>
  </si>
  <si>
    <t>Ppt1</t>
  </si>
  <si>
    <t>Hk1</t>
  </si>
  <si>
    <t>Wnt4</t>
  </si>
  <si>
    <t>HIF-1 signaling pathway - Mus musculus (mouse)</t>
  </si>
  <si>
    <t>ENSMUSG00000035105</t>
  </si>
  <si>
    <t>ENSMUSG00000021638</t>
  </si>
  <si>
    <t>ENSMUSG00000020720</t>
  </si>
  <si>
    <t>F11r</t>
  </si>
  <si>
    <t>ENSMUSG00000021756</t>
  </si>
  <si>
    <t>ENSMUSG00000028064</t>
  </si>
  <si>
    <t>ENSMUSG00000021754</t>
  </si>
  <si>
    <t>ENSMUSG00000021759</t>
  </si>
  <si>
    <t>Rock2</t>
  </si>
  <si>
    <t>ENSMUSG00000028262</t>
  </si>
  <si>
    <t>Fes</t>
  </si>
  <si>
    <t>Tgfb1</t>
  </si>
  <si>
    <t>Tgfb3</t>
  </si>
  <si>
    <t>ENSMUSG00000053398</t>
  </si>
  <si>
    <t>ENSMUSG00000053644</t>
  </si>
  <si>
    <t>Tmprss2</t>
  </si>
  <si>
    <t>ENSMUSG00000053395</t>
  </si>
  <si>
    <t>Tmprss4</t>
  </si>
  <si>
    <t>Col6a4</t>
  </si>
  <si>
    <t>ENSMUSG00000032076</t>
  </si>
  <si>
    <t>ENSMUSG00000020431</t>
  </si>
  <si>
    <t>Insr</t>
  </si>
  <si>
    <t>Vcam1</t>
  </si>
  <si>
    <t>Col4a1</t>
  </si>
  <si>
    <t>Ksr1</t>
  </si>
  <si>
    <t>Slc1a3</t>
  </si>
  <si>
    <t>Ivns1abp</t>
  </si>
  <si>
    <t>Man1a2</t>
  </si>
  <si>
    <t>St3gal2</t>
  </si>
  <si>
    <t>Exoc7</t>
  </si>
  <si>
    <t>N-Glycan biosynthesis - Mus musculus (mouse)</t>
  </si>
  <si>
    <t>Ccr4</t>
  </si>
  <si>
    <t>Ccr6</t>
  </si>
  <si>
    <t>Ccr7</t>
  </si>
  <si>
    <t>Oplah</t>
  </si>
  <si>
    <t>Laptm5</t>
  </si>
  <si>
    <t>ENSMUSG00000004864</t>
  </si>
  <si>
    <t>Isg15</t>
  </si>
  <si>
    <t>ENSMUSG00000001249</t>
  </si>
  <si>
    <t>Toxoplasmosis - Mus musculus (mouse)</t>
  </si>
  <si>
    <t>ENSMUSG00000027566</t>
  </si>
  <si>
    <t>ENSMUSG00000027562</t>
  </si>
  <si>
    <t>ENSMUSG00000020241</t>
  </si>
  <si>
    <t>Pgm2</t>
  </si>
  <si>
    <t>Map3k14</t>
  </si>
  <si>
    <t>Galnt4</t>
  </si>
  <si>
    <t>Galnt7</t>
  </si>
  <si>
    <t>Galnt2</t>
  </si>
  <si>
    <t>Npl</t>
  </si>
  <si>
    <t>Plxnb1</t>
  </si>
  <si>
    <t>Nlgn2</t>
  </si>
  <si>
    <t>Nlgn1</t>
  </si>
  <si>
    <t>Cacnb3</t>
  </si>
  <si>
    <t>Amphetamine addiction - Mus musculus (mouse)</t>
  </si>
  <si>
    <t>Shisa5</t>
  </si>
  <si>
    <t>Glt28d2</t>
  </si>
  <si>
    <t>Camk4</t>
  </si>
  <si>
    <t>Gmppb</t>
  </si>
  <si>
    <t>ENSMUSG00000030748</t>
  </si>
  <si>
    <t>ENSMUSG00000024942</t>
  </si>
  <si>
    <t>ENSMUSG00000030742</t>
  </si>
  <si>
    <t>Malt1</t>
  </si>
  <si>
    <t>ENSMUSG00000030745</t>
  </si>
  <si>
    <t>Atp6v1c1</t>
  </si>
  <si>
    <t>ENSMUSG00000025190</t>
  </si>
  <si>
    <t>Gsta4</t>
  </si>
  <si>
    <t>ENSMUSG00000036594</t>
  </si>
  <si>
    <t>ENSMUSG00000027164</t>
  </si>
  <si>
    <t>ENSMUSG00000024892</t>
  </si>
  <si>
    <t>ENSMUSG00000027360</t>
  </si>
  <si>
    <t>Ggt6</t>
  </si>
  <si>
    <t>ENSMUSG00000018819</t>
  </si>
  <si>
    <t>ENSMUSG00000033721</t>
  </si>
  <si>
    <t>ENSMUSG00000040084</t>
  </si>
  <si>
    <t>ENSMUSG00000026496</t>
  </si>
  <si>
    <t>Cyp1b1</t>
  </si>
  <si>
    <t>ENSMUSG00000003873</t>
  </si>
  <si>
    <t>ENSMUSG00000020227</t>
  </si>
  <si>
    <t>Tnfrsf10b</t>
  </si>
  <si>
    <t>ENSMUSG00000031585</t>
  </si>
  <si>
    <t>Ssh3</t>
  </si>
  <si>
    <t>ENSMUSG00000055172</t>
  </si>
  <si>
    <t>Ssh1</t>
  </si>
  <si>
    <t>ENSMUSG00000030560</t>
  </si>
  <si>
    <t>ENSMUSG00000037405</t>
  </si>
  <si>
    <t>Fntb</t>
  </si>
  <si>
    <t>ENSMUSG00000027709</t>
  </si>
  <si>
    <t>ENSMUSG00000050708</t>
  </si>
  <si>
    <t>Adrb2</t>
  </si>
  <si>
    <t>ENSMUSG00000026167</t>
  </si>
  <si>
    <t>ENSMUSG00000026166</t>
  </si>
  <si>
    <t>ENSMUSG00000031906</t>
  </si>
  <si>
    <t>ENSMUSG00000004698</t>
  </si>
  <si>
    <t>ENSMUSG00000030161</t>
  </si>
  <si>
    <t>Long-term potentiation - Mus musculus (mouse)</t>
  </si>
  <si>
    <t>ENSMUSG00000030168</t>
  </si>
  <si>
    <t>Il12a</t>
  </si>
  <si>
    <t>ENSMUSG00000090035</t>
  </si>
  <si>
    <t>Tiam1</t>
  </si>
  <si>
    <t>ENSMUSG00000031762</t>
  </si>
  <si>
    <t>ENSMUSG00000031765</t>
  </si>
  <si>
    <t>ENSMUSG00000041347</t>
  </si>
  <si>
    <t>Eps15</t>
  </si>
  <si>
    <t>ENSMUSG00000027015</t>
  </si>
  <si>
    <t>ENSMUSG00000026011</t>
  </si>
  <si>
    <t>ENSMUSG00000023067</t>
  </si>
  <si>
    <t>ENSMUSG00000003477</t>
  </si>
  <si>
    <t>Eci2</t>
  </si>
  <si>
    <t>Eci1</t>
  </si>
  <si>
    <t>Ptprc</t>
  </si>
  <si>
    <t>Rasa1</t>
  </si>
  <si>
    <t>Pck1</t>
  </si>
  <si>
    <t>Ret</t>
  </si>
  <si>
    <t>ENSMUSG00000040296</t>
  </si>
  <si>
    <t>ENSMUSG00000020538</t>
  </si>
  <si>
    <t>ENSMUSG00000026942</t>
  </si>
  <si>
    <t>Rel</t>
  </si>
  <si>
    <t>ENSMUSG00000063889</t>
  </si>
  <si>
    <t>Relb</t>
  </si>
  <si>
    <t>ENSMUSG00000020534</t>
  </si>
  <si>
    <t>Staphylococcus aureus infection - Mus musculus (mouse)</t>
  </si>
  <si>
    <t>ENSMUSG00000056553</t>
  </si>
  <si>
    <t>Psmb11</t>
  </si>
  <si>
    <t>Psmb10</t>
  </si>
  <si>
    <t>H2-T23</t>
  </si>
  <si>
    <t>H2-T22</t>
  </si>
  <si>
    <t>Viral carcinogenesis - Mus musculus (mouse)</t>
  </si>
  <si>
    <t>Lyz2</t>
  </si>
  <si>
    <t>ENSMUSG00000049775</t>
  </si>
  <si>
    <t>H2-Eb1</t>
  </si>
  <si>
    <t>Map3k8</t>
  </si>
  <si>
    <t>Calm2</t>
  </si>
  <si>
    <t>Calm3</t>
  </si>
  <si>
    <t>Calm1</t>
  </si>
  <si>
    <t>Map3k1</t>
  </si>
  <si>
    <t>Map3k4</t>
  </si>
  <si>
    <t>Ltb</t>
  </si>
  <si>
    <t>Rag1</t>
  </si>
  <si>
    <t>ENSMUSG00000028657</t>
  </si>
  <si>
    <t>Stim2</t>
  </si>
  <si>
    <t>ENSMUSG00000028894</t>
  </si>
  <si>
    <t>ENSMUSG00000028893</t>
  </si>
  <si>
    <t>ENSMUSG00000029385</t>
  </si>
  <si>
    <t>Rras2</t>
  </si>
  <si>
    <t>ENSMUSG00000029380</t>
  </si>
  <si>
    <t>ENSMUSG00000024462</t>
  </si>
  <si>
    <t>Pak1</t>
  </si>
  <si>
    <t>ENSMUSG00000036912</t>
  </si>
  <si>
    <t>Dgkz</t>
  </si>
  <si>
    <t>ENSMUSG00000032661</t>
  </si>
  <si>
    <t>ENSMUSG00000029417</t>
  </si>
  <si>
    <t>ENSMUSG00000039105</t>
  </si>
  <si>
    <t>ENSMUSG00000030339</t>
  </si>
  <si>
    <t>Dgki</t>
  </si>
  <si>
    <t>ENSMUSG00000009545</t>
  </si>
  <si>
    <t>Dgka</t>
  </si>
  <si>
    <t>ENSMUSG00000025151</t>
  </si>
  <si>
    <t>ENSMUSG00000025153</t>
  </si>
  <si>
    <t>ENSMUSG00000034066</t>
  </si>
  <si>
    <t>ENSMUSG00000038296</t>
  </si>
  <si>
    <t>ENSMUSG00000043300</t>
  </si>
  <si>
    <t>Etv6</t>
  </si>
  <si>
    <t>ENSMUSG00000042121</t>
  </si>
  <si>
    <t>ENSMUSG00000013076</t>
  </si>
  <si>
    <t>Gusb</t>
  </si>
  <si>
    <t>ENSMUSG00000021242</t>
  </si>
  <si>
    <t>Eif4g3</t>
  </si>
  <si>
    <t>Gm10116</t>
  </si>
  <si>
    <t>Prg2</t>
  </si>
  <si>
    <t>ENSMUSG00000024661</t>
  </si>
  <si>
    <t>Autoimmune thyroid disease - Mus musculus (mouse)</t>
  </si>
  <si>
    <t>ENSMUSG00000025701</t>
  </si>
  <si>
    <t>ENSMUSG00000018334</t>
  </si>
  <si>
    <t>ENSMUSG00000042010</t>
  </si>
  <si>
    <t>ENSMUSG00000028124</t>
  </si>
  <si>
    <t>Glul</t>
  </si>
  <si>
    <t>Arrb2</t>
  </si>
  <si>
    <t>Abat</t>
  </si>
  <si>
    <t>B4galt1</t>
  </si>
  <si>
    <t>ENSMUSG00000017776</t>
  </si>
  <si>
    <t>Type II diabetes mellitus - Mus musculus (mouse)</t>
  </si>
  <si>
    <t>ENSMUSG00000024399</t>
  </si>
  <si>
    <t>Aph1a</t>
  </si>
  <si>
    <t>ENSMUSG00000079197</t>
  </si>
  <si>
    <t>Pde7a</t>
  </si>
  <si>
    <t>Icam1</t>
  </si>
  <si>
    <t>Pertussis - Mus musculus (mouse)</t>
  </si>
  <si>
    <t>ENSMUSG00000037126</t>
  </si>
  <si>
    <t>ENSMUSG00000032440</t>
  </si>
  <si>
    <t>ENSMUSG00000053819</t>
  </si>
  <si>
    <t>ENSMUSG00000032359</t>
  </si>
  <si>
    <t>Salivary secretion - Mus musculus (mouse)</t>
  </si>
  <si>
    <t>Ppp1r12b</t>
  </si>
  <si>
    <t>Mmp9</t>
  </si>
  <si>
    <t>ENSMUSG00000024401</t>
  </si>
  <si>
    <t>Gnptg</t>
  </si>
  <si>
    <t>ENSMUSG00000001507</t>
  </si>
  <si>
    <t>Mmp2</t>
  </si>
  <si>
    <t>Primary immunodeficiency - Mus musculus (mouse)</t>
  </si>
  <si>
    <t>Tank</t>
  </si>
  <si>
    <t>ENSMUSG00000037295</t>
  </si>
  <si>
    <t>Zfyve9</t>
  </si>
  <si>
    <t>ENSMUSG00000022193</t>
  </si>
  <si>
    <t>Fc gamma R-mediated phagocytosis - Mus musculus (mouse)</t>
  </si>
  <si>
    <t>Ap2a2</t>
  </si>
  <si>
    <t>Sort1</t>
  </si>
  <si>
    <t>ENSMUSG00000017428</t>
  </si>
  <si>
    <t>Nckap1</t>
  </si>
  <si>
    <t>Xbp1</t>
  </si>
  <si>
    <t>Pgf</t>
  </si>
  <si>
    <t>Gastric acid secretion - Mus musculus (mouse)</t>
  </si>
  <si>
    <t>ENSMUSG00000056025</t>
  </si>
  <si>
    <t>ENSMUSG00000033220</t>
  </si>
  <si>
    <t>ENSMUSG00000036615</t>
  </si>
  <si>
    <t>ENSMUSG00000020097</t>
  </si>
  <si>
    <t>Gli3</t>
  </si>
  <si>
    <t>Dok1</t>
  </si>
  <si>
    <t>Pgp</t>
  </si>
  <si>
    <t>F2rl1</t>
  </si>
  <si>
    <t>Igf1</t>
  </si>
  <si>
    <t>ENSMUSG00000026718</t>
  </si>
  <si>
    <t>ENSMUSG00000010025</t>
  </si>
  <si>
    <t>ENSMUSG00000030751</t>
  </si>
  <si>
    <t>Glioma - Mus musculus (mouse)</t>
  </si>
  <si>
    <t>ENSMUSG00000036438</t>
  </si>
  <si>
    <t>ENSMUSG00000024371</t>
  </si>
  <si>
    <t>ENSMUSG00000001761</t>
  </si>
  <si>
    <t>Pld2</t>
  </si>
  <si>
    <t>ENSMUSG00000020383</t>
  </si>
  <si>
    <t>ENSMUSG00000020386</t>
  </si>
  <si>
    <t>ENSMUSG00000001986</t>
  </si>
  <si>
    <t>Zfp36</t>
  </si>
  <si>
    <t>Cd247</t>
  </si>
  <si>
    <t>ENSMUSG00000004113</t>
  </si>
  <si>
    <t>ENSMUSG00000020893</t>
  </si>
  <si>
    <t>ENSMUSG00000060477</t>
  </si>
  <si>
    <t>ENSMUSG00000066324</t>
  </si>
  <si>
    <t>Gstt2</t>
  </si>
  <si>
    <t>ENSMUSG00000039740</t>
  </si>
  <si>
    <t>Mfng</t>
  </si>
  <si>
    <t>Polr2h</t>
  </si>
  <si>
    <t>Ptgs2</t>
  </si>
  <si>
    <t>Cd24a</t>
  </si>
  <si>
    <t>ENSMUSG00000030199</t>
  </si>
  <si>
    <t>Dock2</t>
  </si>
  <si>
    <t>ENSMUSG00000037411</t>
  </si>
  <si>
    <t>Dock1</t>
  </si>
  <si>
    <t>Cfb</t>
  </si>
  <si>
    <t>ENSMUSG00000023274</t>
  </si>
  <si>
    <t>Stat5b</t>
  </si>
  <si>
    <t>Stat5a</t>
  </si>
  <si>
    <t>Lpcat2</t>
  </si>
  <si>
    <t>Chi3l1</t>
  </si>
  <si>
    <t>ENSMUSG00000040562</t>
  </si>
  <si>
    <t>ENSMUSG00000040899</t>
  </si>
  <si>
    <t>ENSMUSG00000031488</t>
  </si>
  <si>
    <t>ENSMUSG00000027952</t>
  </si>
  <si>
    <t>ENSMUSG00000027951</t>
  </si>
  <si>
    <t>Crb3</t>
  </si>
  <si>
    <t>ENSMUSG00000006517</t>
  </si>
  <si>
    <t>Perp</t>
  </si>
  <si>
    <t>ENSMUSG00000031714</t>
  </si>
  <si>
    <t>ENSMUSG00000031712</t>
  </si>
  <si>
    <t>Ldlrap1</t>
  </si>
  <si>
    <t>ENSMUSG00000006519</t>
  </si>
  <si>
    <t>Ctla4</t>
  </si>
  <si>
    <t>Hsd17b10</t>
  </si>
  <si>
    <t>ENSMUSG00000027002</t>
  </si>
  <si>
    <t>ENSMUSG00000030287</t>
  </si>
  <si>
    <t>ENSMUSG00000041417</t>
  </si>
  <si>
    <t>Npc2</t>
  </si>
  <si>
    <t>Eif2ak2</t>
  </si>
  <si>
    <t>Man2a2</t>
  </si>
  <si>
    <t>Man2a1</t>
  </si>
  <si>
    <t>Gnptab</t>
  </si>
  <si>
    <t>Baiap2</t>
  </si>
  <si>
    <t>Rnf125</t>
  </si>
  <si>
    <t>ENSMUSG00000040782</t>
  </si>
  <si>
    <t>Slc25a10</t>
  </si>
  <si>
    <t>Il2ra</t>
  </si>
  <si>
    <t>ENSMUSG00000031391</t>
  </si>
  <si>
    <t>Il2rg</t>
  </si>
  <si>
    <t>ENSMUSG00000056124</t>
  </si>
  <si>
    <t>ENSMUSG00000003283</t>
  </si>
  <si>
    <t>Tfrc</t>
  </si>
  <si>
    <t>Tnfrsf11a</t>
  </si>
  <si>
    <t>Tnfrsf11b</t>
  </si>
  <si>
    <t>Nf1</t>
  </si>
  <si>
    <t>ENSMUSG00000022636</t>
  </si>
  <si>
    <t>ENSMUSG00000020520</t>
  </si>
  <si>
    <t>ENSMUSG00000026442</t>
  </si>
  <si>
    <t>Fth1</t>
  </si>
  <si>
    <t>Dhx58</t>
  </si>
  <si>
    <t>Arginine and proline metabolism - Mus musculus (mouse)</t>
  </si>
  <si>
    <t>ENSMUSG00000029134</t>
  </si>
  <si>
    <t>Pvrl3</t>
  </si>
  <si>
    <t>Pard6g</t>
  </si>
  <si>
    <t>C1galt1</t>
  </si>
  <si>
    <t>Apc</t>
  </si>
  <si>
    <t>Pip4k2a</t>
  </si>
  <si>
    <t>Dbt</t>
  </si>
  <si>
    <t>Adora2a</t>
  </si>
  <si>
    <t>Ifitm1</t>
  </si>
  <si>
    <t>Ntng2</t>
  </si>
  <si>
    <t>Cacng8</t>
  </si>
  <si>
    <t>ENSMUSG00000026842</t>
  </si>
  <si>
    <t>ENSMUSG00000029710</t>
  </si>
  <si>
    <t>ENSMUSG00000022528</t>
  </si>
  <si>
    <t>ENSMUSG00000089704</t>
  </si>
  <si>
    <t>Tbkbp1</t>
  </si>
  <si>
    <t>Arpc2</t>
  </si>
  <si>
    <t>ENSMUSG00000034616</t>
  </si>
  <si>
    <t>Col4a5</t>
  </si>
  <si>
    <t>Circadian entrainment - Mus musculus (mouse)</t>
  </si>
  <si>
    <t>Aox4</t>
  </si>
  <si>
    <t>Itpr2</t>
  </si>
  <si>
    <t>Dusp14</t>
  </si>
  <si>
    <t>ENSMUSG00000025383</t>
  </si>
  <si>
    <t>Dusp10</t>
  </si>
  <si>
    <t>Col4a2</t>
  </si>
  <si>
    <t>Myh10</t>
  </si>
  <si>
    <t>ENSMUSG00000052397</t>
  </si>
  <si>
    <t>Myh14</t>
  </si>
  <si>
    <t>ENSMUSG00000061311</t>
  </si>
  <si>
    <t>Arsb</t>
  </si>
  <si>
    <t>Dapp1</t>
  </si>
  <si>
    <t>Measles - Mus musculus (mouse)</t>
  </si>
  <si>
    <t>ENSMUSG00000045672</t>
  </si>
  <si>
    <t>ENSMUSG00000035678</t>
  </si>
  <si>
    <t>Fcer1g</t>
  </si>
  <si>
    <t>Pfkfb3</t>
  </si>
  <si>
    <t>Slc4a4</t>
  </si>
  <si>
    <t>Tnfsf9</t>
  </si>
  <si>
    <t>Oas1a</t>
  </si>
  <si>
    <t>Oas1b</t>
  </si>
  <si>
    <t>ENSMUSG00000021737</t>
  </si>
  <si>
    <t>ENSMUSG00000028047</t>
  </si>
  <si>
    <t>Calr</t>
  </si>
  <si>
    <t>ENSMUSG00000006344</t>
  </si>
  <si>
    <t>Vcl</t>
  </si>
  <si>
    <t>ENSMUSG00000029859</t>
  </si>
  <si>
    <t>Mboat1</t>
  </si>
  <si>
    <t>pubmed</t>
  </si>
  <si>
    <t>Capn1</t>
  </si>
  <si>
    <t>ENSMUSG00000022272</t>
  </si>
  <si>
    <t>ENSMUSG00000018012</t>
  </si>
  <si>
    <t>Cadm1</t>
  </si>
  <si>
    <t>H2-K1</t>
  </si>
  <si>
    <t>ENSMUSG00000017167</t>
  </si>
  <si>
    <t>ENSMUSG00000032058</t>
  </si>
  <si>
    <t>Ccdc6</t>
  </si>
  <si>
    <t>Cdh1</t>
  </si>
  <si>
    <t>Cdh3</t>
  </si>
  <si>
    <t>Cdh2</t>
  </si>
  <si>
    <t>ENSMUSG00000020676</t>
  </si>
  <si>
    <t>ENSMUSG00000017760</t>
  </si>
  <si>
    <t>ENSMUSG00000045095</t>
  </si>
  <si>
    <t>ENSMUSG00000028854</t>
  </si>
  <si>
    <t>ENSMUSG00000015970</t>
  </si>
  <si>
    <t>Antigen processing and presentation - Mus musculus (mouse)</t>
  </si>
  <si>
    <t>Col6a1</t>
  </si>
  <si>
    <t>ENSMUSG00000044303</t>
  </si>
  <si>
    <t>Col6a2</t>
  </si>
  <si>
    <t>Glycolysis / Gluconeogenesis - Mus musculus (mouse)</t>
  </si>
  <si>
    <t>ENSMUSG00000002083</t>
  </si>
  <si>
    <t>Eea1</t>
  </si>
  <si>
    <t>VEGF signaling pathway - Mus musculus (mouse)</t>
  </si>
  <si>
    <t>Rras</t>
  </si>
  <si>
    <t>ENSMUSG00000019960</t>
  </si>
  <si>
    <t>ENSMUSG00000044786</t>
  </si>
  <si>
    <t>ENSMUSG00000042842</t>
  </si>
  <si>
    <t>ENSMUSG00000021939</t>
  </si>
  <si>
    <t>ENSMUSG00000021936</t>
  </si>
  <si>
    <t>ENSMUSG00000024143</t>
  </si>
  <si>
    <t>ENSMUSG00000060216</t>
  </si>
  <si>
    <t>ENSMUSG00000022883</t>
  </si>
  <si>
    <t>Spnb2</t>
  </si>
  <si>
    <t>ENSMUSG00000022836</t>
  </si>
  <si>
    <t>ENSMUSG00000045322</t>
  </si>
  <si>
    <t>ENSMUSG00000027540</t>
  </si>
  <si>
    <t>ENSMUSG00000027544</t>
  </si>
  <si>
    <t>Influenza A - Mus musculus (mouse)</t>
  </si>
  <si>
    <t>ENSMUSG00000027314</t>
  </si>
  <si>
    <t>ENSMUSG00000002957</t>
  </si>
  <si>
    <t>ENSMUSG00000001281</t>
  </si>
  <si>
    <t>Fam125b</t>
  </si>
  <si>
    <t>Ocrl</t>
  </si>
  <si>
    <t>ENSMUSG00000039952</t>
  </si>
  <si>
    <t>ENSMUSG00000090877</t>
  </si>
  <si>
    <t>ENSMUSG00000019966</t>
  </si>
  <si>
    <t>Creb3l2</t>
  </si>
  <si>
    <t>ENSMUSG00000070348</t>
  </si>
  <si>
    <t>ENSMUSG00000055978</t>
  </si>
  <si>
    <t>ENSMUSG00000018906</t>
  </si>
  <si>
    <t>Valine, leucine and isoleucine degradation - Mus musculus (mouse)</t>
  </si>
  <si>
    <t>ENSMUSG00000026701</t>
  </si>
  <si>
    <t>Dpyd</t>
  </si>
  <si>
    <t>ENSMUSG00000058427</t>
  </si>
  <si>
    <t>Psma1</t>
  </si>
  <si>
    <t>ENSMUSG00000038517</t>
  </si>
  <si>
    <t>Psma7</t>
  </si>
  <si>
    <t>Psma4</t>
  </si>
  <si>
    <t>Psma5</t>
  </si>
  <si>
    <t>ENSMUSG00000037649</t>
  </si>
  <si>
    <t>ENSMUSG00000037643</t>
  </si>
  <si>
    <t>Pdk1</t>
  </si>
  <si>
    <t>Krt10</t>
  </si>
  <si>
    <t>Adipocytokine signaling pathway - Mus musculus (mouse)</t>
  </si>
  <si>
    <t>Kcnj3</t>
  </si>
  <si>
    <t>Piwil4</t>
  </si>
  <si>
    <t>Il12rb1</t>
  </si>
  <si>
    <t>Rbpj</t>
  </si>
  <si>
    <t>Ncf1</t>
  </si>
  <si>
    <t>Crem</t>
  </si>
  <si>
    <t>Proximal tubule bicarbonate reclamation - Mus musculus (mouse)</t>
  </si>
  <si>
    <t>ENSMUSG00000005672</t>
  </si>
  <si>
    <t>Pathways in cancer - Mus musculus (mouse)</t>
  </si>
  <si>
    <t>Ckb</t>
  </si>
  <si>
    <t>ENSMUSG00000026639</t>
  </si>
  <si>
    <t>Grlf1</t>
  </si>
  <si>
    <t>Plce1</t>
  </si>
  <si>
    <t>ENSMUSG00000062345</t>
  </si>
  <si>
    <t>ENSMUSG00000031969</t>
  </si>
  <si>
    <t>Ncf2</t>
  </si>
  <si>
    <t>Ppp2r1b</t>
  </si>
  <si>
    <t>Ncf4</t>
  </si>
  <si>
    <t>Nedd4</t>
  </si>
  <si>
    <t>Irf1</t>
  </si>
  <si>
    <t>ENSMUSG00000000957</t>
  </si>
  <si>
    <t>ENSMUSG00000037260</t>
  </si>
  <si>
    <t>Srr</t>
  </si>
  <si>
    <t>ENSMUSG00000030815</t>
  </si>
  <si>
    <t>ENSMUSG00000040136</t>
  </si>
  <si>
    <t>Ptk2b</t>
  </si>
  <si>
    <t>ENSMUSG00000016256</t>
  </si>
  <si>
    <t>Hras1</t>
  </si>
  <si>
    <t>Kras</t>
  </si>
  <si>
    <t>Ckmt1</t>
  </si>
  <si>
    <t>ENSMUSG00000031633</t>
  </si>
  <si>
    <t>ENSMUSG00000029098</t>
  </si>
  <si>
    <t>Fcer2a</t>
  </si>
  <si>
    <t>ENSMUSG00000040046</t>
  </si>
  <si>
    <t>ENSMUSG00000026456</t>
  </si>
  <si>
    <t>ENSMUSG00000025423</t>
  </si>
  <si>
    <t>Cltc</t>
  </si>
  <si>
    <t>ENSMUSG00000034040</t>
  </si>
  <si>
    <t>ENSMUSG00000015312</t>
  </si>
  <si>
    <t>ENSMUSG00000056220</t>
  </si>
  <si>
    <t>Gba</t>
  </si>
  <si>
    <t>ENSMUSG00000019302</t>
  </si>
  <si>
    <t>ENSMUSG00000005774</t>
  </si>
  <si>
    <t>Abcc8</t>
  </si>
  <si>
    <t>ENSMUSG00000022512</t>
  </si>
  <si>
    <t>Ephb6</t>
  </si>
  <si>
    <t>ENSMUSG00000020469</t>
  </si>
  <si>
    <t>ENSMUSG00000022602</t>
  </si>
  <si>
    <t>ENSMUSG00000025888</t>
  </si>
  <si>
    <t>Il10ra</t>
  </si>
  <si>
    <t>ENSMUSG00000025551</t>
  </si>
  <si>
    <t>Atf1</t>
  </si>
  <si>
    <t>ENSMUSG00000025887</t>
  </si>
  <si>
    <t>Bcat2</t>
  </si>
  <si>
    <t>ENSMUSG00000031367</t>
  </si>
  <si>
    <t>ENSMUSG00000015950</t>
  </si>
  <si>
    <t>ENSMUSG00000016206</t>
  </si>
  <si>
    <t>Calcium signaling pathway - Mus musculus (mouse)</t>
  </si>
  <si>
    <t>Aire</t>
  </si>
  <si>
    <t>Il10</t>
  </si>
  <si>
    <t>Il13</t>
  </si>
  <si>
    <t>Il15</t>
  </si>
  <si>
    <t>ENSMUSG00000029470</t>
  </si>
  <si>
    <t>Igfbp3</t>
  </si>
  <si>
    <t>ENSMUSG00000034868</t>
  </si>
  <si>
    <t>Hpn</t>
  </si>
  <si>
    <t>Rnasel</t>
  </si>
  <si>
    <t>Il17ra</t>
  </si>
  <si>
    <t>Igf1r</t>
  </si>
  <si>
    <t>Chdh</t>
  </si>
  <si>
    <t>ENSMUSG00000021646</t>
  </si>
  <si>
    <t>B3galt5</t>
  </si>
  <si>
    <t>Acacb</t>
  </si>
  <si>
    <t>ENSMUSG00000021702</t>
  </si>
  <si>
    <t>Rps6ka3</t>
  </si>
  <si>
    <t>C1s</t>
  </si>
  <si>
    <t>Blnk</t>
  </si>
  <si>
    <t>ENSMUSG00000018648</t>
  </si>
  <si>
    <t>ENSMUSG00000038387</t>
  </si>
  <si>
    <t>ENSMUSG00000028459</t>
  </si>
  <si>
    <t>Bnip3</t>
  </si>
  <si>
    <t>ENSMUSG00000032737</t>
  </si>
  <si>
    <t>Phgdh</t>
  </si>
  <si>
    <t>Acsl4</t>
  </si>
  <si>
    <t>Acsl5</t>
  </si>
  <si>
    <t>Trip6</t>
  </si>
  <si>
    <t>ENSMUSG00000045594</t>
  </si>
  <si>
    <t>Natural killer cell mediated cytotoxicity - Mus musculus (mouse)</t>
  </si>
  <si>
    <t>ENSMUSG00000041058</t>
  </si>
  <si>
    <t>Gtf2a1</t>
  </si>
  <si>
    <t>ENSMUSG00000021417</t>
  </si>
  <si>
    <t>ENSMUSG00000019846</t>
  </si>
  <si>
    <t>Marcksl1</t>
  </si>
  <si>
    <t>Hmmr</t>
  </si>
  <si>
    <t>ENSMUSG00000022952</t>
  </si>
  <si>
    <t>ENSMUSG00000020279</t>
  </si>
  <si>
    <t>Lbp</t>
  </si>
  <si>
    <t>ENSMUSG00000020275</t>
  </si>
  <si>
    <t>Lpcat1</t>
  </si>
  <si>
    <t>ENSMUSG00000058709</t>
  </si>
  <si>
    <t>ENSMUSG00000058258</t>
  </si>
  <si>
    <t>Fzd1</t>
  </si>
  <si>
    <t>Fzd2</t>
  </si>
  <si>
    <t>ENSMUSG00000039943</t>
  </si>
  <si>
    <t>ENSMUSG00000032554</t>
  </si>
  <si>
    <t>Fzd7</t>
  </si>
  <si>
    <t>Dnajc6</t>
  </si>
  <si>
    <t>Clcn2</t>
  </si>
  <si>
    <t>Agrn</t>
  </si>
  <si>
    <t>ENSMUSG00000073802</t>
  </si>
  <si>
    <t>ENSMUSG00000002897</t>
  </si>
  <si>
    <t>Ciita</t>
  </si>
  <si>
    <t>Cxcl10</t>
  </si>
  <si>
    <t>Il4i1</t>
  </si>
  <si>
    <t>Myb</t>
  </si>
  <si>
    <t>Cxcl14</t>
  </si>
  <si>
    <t>ENSMUSG00000024778</t>
  </si>
  <si>
    <t>Cxcl16</t>
  </si>
  <si>
    <t>Ppp2r2a</t>
  </si>
  <si>
    <t>ENSMUSG00000026737</t>
  </si>
  <si>
    <t>Psmb9</t>
  </si>
  <si>
    <t>Psmb8</t>
  </si>
  <si>
    <t>Psmb5</t>
  </si>
  <si>
    <t>Psmb4</t>
  </si>
  <si>
    <t>Psmb2</t>
  </si>
  <si>
    <t>Adh1</t>
  </si>
  <si>
    <t>Dtx2</t>
  </si>
  <si>
    <t>Tnfrsf1a</t>
  </si>
  <si>
    <t>ENSMUSG00000030603</t>
  </si>
  <si>
    <t>Pgam2</t>
  </si>
  <si>
    <t>ENSMUSG00000024597</t>
  </si>
  <si>
    <t>Allograft rejection - Mus musculus (mouse)</t>
  </si>
  <si>
    <t>Kynu</t>
  </si>
  <si>
    <t>Prex1</t>
  </si>
  <si>
    <t>ENSMUSG00000003847</t>
  </si>
  <si>
    <t>Kcnk2</t>
  </si>
  <si>
    <t>Ids</t>
  </si>
  <si>
    <t>Stk3</t>
  </si>
  <si>
    <t>Stk4</t>
  </si>
  <si>
    <t>ENSMUSG00000027805</t>
  </si>
  <si>
    <t>Zyx</t>
  </si>
  <si>
    <t>ENSMUSG00000030770</t>
  </si>
  <si>
    <t>ENSMUSG00000030774</t>
  </si>
  <si>
    <t>Egr2</t>
  </si>
  <si>
    <t>Egr3</t>
  </si>
  <si>
    <t>Egr1</t>
  </si>
  <si>
    <t>ECM-receptor interaction - Mus musculus (mouse)</t>
  </si>
  <si>
    <t>Tnfrsf17</t>
  </si>
  <si>
    <t>Tnfrsf14</t>
  </si>
  <si>
    <t>Me1</t>
  </si>
  <si>
    <t>Plcd1</t>
  </si>
  <si>
    <t>ENSMUSG00000000385</t>
  </si>
  <si>
    <t>ENSMUSG00000031955</t>
  </si>
  <si>
    <t>Il23r</t>
  </si>
  <si>
    <t>ENSMUSG00000021477</t>
  </si>
  <si>
    <t>Serpinb9</t>
  </si>
  <si>
    <t>Coro1a</t>
  </si>
  <si>
    <t>Vegfa</t>
  </si>
  <si>
    <t>Adc</t>
  </si>
  <si>
    <t>ENSMUSG00000026193</t>
  </si>
  <si>
    <t>Pycard</t>
  </si>
  <si>
    <t>Serpinb2</t>
  </si>
  <si>
    <t>ENSMUSG00000041431</t>
  </si>
  <si>
    <t>Rasd1</t>
  </si>
  <si>
    <t>ENSMUSG00000026288</t>
  </si>
  <si>
    <t>ENSMUSG00000053646</t>
  </si>
  <si>
    <t>ENSMUSG00000023030</t>
  </si>
  <si>
    <t>ENSMUSG00000026042</t>
  </si>
  <si>
    <t>ENSMUSG00000066278</t>
  </si>
  <si>
    <t>Pde4c</t>
  </si>
  <si>
    <t>ENSMUSG00000069662</t>
  </si>
  <si>
    <t>Nfatc2</t>
  </si>
  <si>
    <t>B3galnt1</t>
  </si>
  <si>
    <t>ENSMUSG00000001750</t>
  </si>
  <si>
    <t>H2-DMa</t>
  </si>
  <si>
    <t>ENSMUSG00000021250</t>
  </si>
  <si>
    <t>Chmp4c</t>
  </si>
  <si>
    <t>Abp1</t>
  </si>
  <si>
    <t>ENSMUSG00000039384</t>
  </si>
  <si>
    <t>Tnf</t>
  </si>
  <si>
    <t>Tnc</t>
  </si>
  <si>
    <t>ENSMUSG00000031608</t>
  </si>
  <si>
    <t>Dlg1</t>
  </si>
  <si>
    <t>ENSMUSG00000030739</t>
  </si>
  <si>
    <t>ENSMUSG00000026463</t>
  </si>
  <si>
    <t>Eno2</t>
  </si>
  <si>
    <t>ENSMUSG00000025812</t>
  </si>
  <si>
    <t>ENSMUSG00000039542</t>
  </si>
  <si>
    <t>Cdkn2b</t>
  </si>
  <si>
    <t>Cdkn2c</t>
  </si>
  <si>
    <t>Nos2</t>
  </si>
  <si>
    <t>Srsf6</t>
  </si>
  <si>
    <t>ENSMUSG00000020475</t>
  </si>
  <si>
    <t>Cholinergic synapse - Mus musculus (mouse)</t>
  </si>
  <si>
    <t>ENSMUSG00000026864</t>
  </si>
  <si>
    <t>ENSMUSG00000026866</t>
  </si>
  <si>
    <t>ENSMUSG00000022504</t>
  </si>
  <si>
    <t>ENSMUSG00000029860</t>
  </si>
  <si>
    <t>Slc38a1</t>
  </si>
  <si>
    <t>Nfkbib</t>
  </si>
  <si>
    <t>Nfkbia</t>
  </si>
  <si>
    <t>Nfkbie</t>
  </si>
  <si>
    <t>Acad8</t>
  </si>
  <si>
    <t>Lat</t>
  </si>
  <si>
    <t>Prkci</t>
  </si>
  <si>
    <t>Degs1</t>
  </si>
  <si>
    <t>ENSMUSG00000047878</t>
  </si>
  <si>
    <t>Prkca</t>
  </si>
  <si>
    <t>ENSMUSG00000039156</t>
  </si>
  <si>
    <t>Htr7</t>
  </si>
  <si>
    <t>ENSMUSG00000052151</t>
  </si>
  <si>
    <t>Prkcq</t>
  </si>
  <si>
    <t>ENSMUSG00000042684</t>
  </si>
  <si>
    <t>ENSMUSG00000028607</t>
  </si>
  <si>
    <t>ENSMUSG00000028602</t>
  </si>
  <si>
    <t>ENSMUSG00000069441</t>
  </si>
  <si>
    <t>ENSMUSG00000042340</t>
  </si>
  <si>
    <t>Atp1b1</t>
  </si>
  <si>
    <t>Cflar</t>
  </si>
  <si>
    <t>ENSMUSG00000021070</t>
  </si>
  <si>
    <t>ENSMUSG00000025743</t>
  </si>
  <si>
    <t>ENSMUSG00000025745</t>
  </si>
  <si>
    <t>ENSMUSG00000023921</t>
  </si>
  <si>
    <t>ENSMUSG00000049892</t>
  </si>
  <si>
    <t>ENSMUSG00000032011</t>
  </si>
  <si>
    <t>Maoa</t>
  </si>
  <si>
    <t>Irs2</t>
  </si>
  <si>
    <t>ENSMUSG00000016528</t>
  </si>
  <si>
    <t>ENSMUSG00000016529</t>
  </si>
  <si>
    <t>Srebf1</t>
  </si>
  <si>
    <t>P4ha3</t>
  </si>
  <si>
    <t>ENSMUSG00000028937</t>
  </si>
  <si>
    <t>ENSMUSG00000008843</t>
  </si>
  <si>
    <t>ENSMUSG00000028932</t>
  </si>
  <si>
    <t>H2-M3</t>
  </si>
  <si>
    <t>H2-M2</t>
  </si>
  <si>
    <t>Homer3</t>
  </si>
  <si>
    <t>ENSMUSG00000052738</t>
  </si>
  <si>
    <t>ENSMUSG00000020612</t>
  </si>
  <si>
    <t>Ptprn2</t>
  </si>
  <si>
    <t>Ptdss2</t>
  </si>
  <si>
    <t>ENSMUSG00000074207</t>
  </si>
  <si>
    <t>Asah1</t>
  </si>
  <si>
    <t>Arap1</t>
  </si>
  <si>
    <t>ENSMUSG00000024164</t>
  </si>
  <si>
    <t>ENSMUSG00000032091</t>
  </si>
  <si>
    <t>ENSMUSG00000042228</t>
  </si>
  <si>
    <t>ENSMUSG00000019982</t>
  </si>
  <si>
    <t>ENSMUSG00000032380</t>
  </si>
  <si>
    <t>ENSMUSG00000042351</t>
  </si>
  <si>
    <t>ENSMUSG00000061288</t>
  </si>
  <si>
    <t>ENSMUSG00000042428</t>
  </si>
  <si>
    <t>ENSMUSG00000078566</t>
  </si>
  <si>
    <t>Grk6</t>
  </si>
  <si>
    <t>ENSMUSG00000018585</t>
  </si>
  <si>
    <t>ENSMUSG00000032418</t>
  </si>
  <si>
    <t>Shmt2</t>
  </si>
  <si>
    <t>Shmt1</t>
  </si>
  <si>
    <t>ENSMUSG00000061048</t>
  </si>
  <si>
    <t>ENSMUSG00000036390</t>
  </si>
  <si>
    <t>Adherens junction - Mus musculus (mouse)</t>
  </si>
  <si>
    <t>Wbscr17</t>
  </si>
  <si>
    <t>Notch signaling pathway - Mus musculus (mouse)</t>
  </si>
  <si>
    <t>Haghl</t>
  </si>
  <si>
    <t>Smo</t>
  </si>
  <si>
    <t>Spry2</t>
  </si>
  <si>
    <t>Synj2</t>
  </si>
  <si>
    <t>ENSMUSG00000039844</t>
  </si>
  <si>
    <t>Sema7a</t>
  </si>
  <si>
    <t>Bcl2l1</t>
  </si>
  <si>
    <t>Dorso-ventral axis formation - Mus musculus (mouse)</t>
  </si>
  <si>
    <t>ENSMUSG00000061132</t>
  </si>
  <si>
    <t>ENSMUSG00000001173</t>
  </si>
  <si>
    <t>ENSMUSG00000001175</t>
  </si>
  <si>
    <t>ENSMUSG00000037868</t>
  </si>
  <si>
    <t>ENSMUSG00000036620</t>
  </si>
  <si>
    <t>ENSMUSG00000020048</t>
  </si>
  <si>
    <t>ENSMUSG00000037860</t>
  </si>
  <si>
    <t>Fgfr2</t>
  </si>
  <si>
    <t>Tight junction - Mus musculus (mouse)</t>
  </si>
  <si>
    <t>Prkab2</t>
  </si>
  <si>
    <t>ENSMUSG00000026728</t>
  </si>
  <si>
    <t>Osmr</t>
  </si>
  <si>
    <t>Mvd</t>
  </si>
  <si>
    <t>Psmc1</t>
  </si>
  <si>
    <t>Psmc2</t>
  </si>
  <si>
    <t>Psmc3</t>
  </si>
  <si>
    <t>Psmc4</t>
  </si>
  <si>
    <t>ENSMUSG00000024900</t>
  </si>
  <si>
    <t>Psmc6</t>
  </si>
  <si>
    <t>ENSMUSG00000024349</t>
  </si>
  <si>
    <t>ENSMUSG00000078945</t>
  </si>
  <si>
    <t>ENSMUSG00000024610</t>
  </si>
  <si>
    <t>Parp1</t>
  </si>
  <si>
    <t>Hsp90b1</t>
  </si>
  <si>
    <t>ENSMUSG00000000628</t>
  </si>
  <si>
    <t>Atp6v0a1</t>
  </si>
  <si>
    <t>Atp2b4</t>
  </si>
  <si>
    <t>ENSMUSG00000026616</t>
  </si>
  <si>
    <t>ENSMUSG00000033765</t>
  </si>
  <si>
    <t>ENSMUSG00000066800</t>
  </si>
  <si>
    <t>ENSMUSG00000020828</t>
  </si>
  <si>
    <t>ENSMUSG00000020829</t>
  </si>
  <si>
    <t>ENSMUSG00000020826</t>
  </si>
  <si>
    <t>ENSMUSG00000037049</t>
  </si>
  <si>
    <t>MAPK signaling pathway - Mus musculus (mouse)</t>
  </si>
  <si>
    <t>ENSMUSG00000030707</t>
  </si>
  <si>
    <t>ENSMUSG00000020919</t>
  </si>
  <si>
    <t>ENSMUSG00000000532</t>
  </si>
  <si>
    <t>Hif1a</t>
  </si>
  <si>
    <t>ENSMUSG00000059447</t>
  </si>
  <si>
    <t>Plcg2</t>
  </si>
  <si>
    <t>Plcg1</t>
  </si>
  <si>
    <t>ENSMUSG00000018927</t>
  </si>
  <si>
    <t>ENSMUSG00000018920</t>
  </si>
  <si>
    <t>ENSMUSG00000092299</t>
  </si>
  <si>
    <t>Arfgap3</t>
  </si>
  <si>
    <t>Mccc2</t>
  </si>
  <si>
    <t>Mccc1</t>
  </si>
  <si>
    <t>ENSMUSG00000040479</t>
  </si>
  <si>
    <t>Ppp2r3c</t>
  </si>
  <si>
    <t>ENSMUSG00000039621</t>
  </si>
  <si>
    <t>Axon guidance - Mus musculus (mouse)</t>
  </si>
  <si>
    <t>ENSMUSG00000050520</t>
  </si>
  <si>
    <t>ENSMUSG00000040592</t>
  </si>
  <si>
    <t>Ggt5</t>
  </si>
  <si>
    <t>Serpinb1a</t>
  </si>
  <si>
    <t>Aim2</t>
  </si>
  <si>
    <t>Serpine1</t>
  </si>
  <si>
    <t>ENSMUSG00000040681</t>
  </si>
  <si>
    <t>ENSMUSG00000030830</t>
  </si>
  <si>
    <t>ENSMUSG00000033308</t>
  </si>
  <si>
    <t>ENSMUSG00000023027</t>
  </si>
  <si>
    <t>ENSMUSG00000025372</t>
  </si>
  <si>
    <t>ENSMUSG00000063142</t>
  </si>
  <si>
    <t>ENSMUSG00000031834</t>
  </si>
  <si>
    <t>ENSMUSG00000031838</t>
  </si>
  <si>
    <t>Galk1</t>
  </si>
  <si>
    <t>ENSMUSG00000056116</t>
  </si>
  <si>
    <t>ENSMUSG00000029075</t>
  </si>
  <si>
    <t>ENSMUSG00000026479</t>
  </si>
  <si>
    <t>ENSMUSG00000026478</t>
  </si>
  <si>
    <t>ENSMUSG00000040061</t>
  </si>
  <si>
    <t>Sesn2</t>
  </si>
  <si>
    <t>Sesn3</t>
  </si>
  <si>
    <t>ENSMUSG00000026473</t>
  </si>
  <si>
    <t>ENSMUSG00000002565</t>
  </si>
  <si>
    <t>Il17rb</t>
  </si>
  <si>
    <t>Melanogenesis - Mus musculus (mouse)</t>
  </si>
  <si>
    <t>ENSMUSG00000025403</t>
  </si>
  <si>
    <t>Gucy1a2</t>
  </si>
  <si>
    <t>Lamp2</t>
  </si>
  <si>
    <t>ENSMUSG00000029188</t>
  </si>
  <si>
    <t>ENSMUSG00000005871</t>
  </si>
  <si>
    <t>Pfkp</t>
  </si>
  <si>
    <t>Lpo</t>
  </si>
  <si>
    <t>ENSMUSG00000026875</t>
  </si>
  <si>
    <t>Pvrl2</t>
  </si>
  <si>
    <t>Mucin type O-Glycan biosynthesis - Mus musculus (mouse)</t>
  </si>
  <si>
    <t>Slc12a2</t>
  </si>
  <si>
    <t>ENSMUSG00000029217</t>
  </si>
  <si>
    <t>ENSMUSG00000026879</t>
  </si>
  <si>
    <t>ENSMUSG00000049624</t>
  </si>
  <si>
    <t>Birc3</t>
  </si>
  <si>
    <t>Birc2</t>
  </si>
  <si>
    <t>ENSMUSG00000069515</t>
  </si>
  <si>
    <t>Terpenoid backbone biosynthesis - Mus musculus (mouse)</t>
  </si>
  <si>
    <t>ENSMUSG00000007659</t>
  </si>
  <si>
    <t>Snai2</t>
  </si>
  <si>
    <t>ENSMUSG00000025579</t>
  </si>
  <si>
    <t>Nfat5</t>
  </si>
  <si>
    <t>ENSMUSG00000021665</t>
  </si>
  <si>
    <t>Akr1b10</t>
  </si>
  <si>
    <t>Lgmn</t>
  </si>
  <si>
    <t>Msh2</t>
  </si>
  <si>
    <t>Vps37b</t>
  </si>
  <si>
    <t>ENSMUSG00000023805</t>
  </si>
  <si>
    <t>Acaa2</t>
  </si>
  <si>
    <t>ENSMUSG00000029455</t>
  </si>
  <si>
    <t>Nfkb2</t>
  </si>
  <si>
    <t>ENSMUSG00000025357</t>
  </si>
  <si>
    <t>Mapkapk2</t>
  </si>
  <si>
    <t>Malaria - Mus musculus (mouse)</t>
  </si>
  <si>
    <t>Cldn13</t>
  </si>
  <si>
    <t>Lsp1</t>
  </si>
  <si>
    <t>ENSMUSG00000034245</t>
  </si>
  <si>
    <t>Tryptophan metabolism - Mus musculus (mouse)</t>
  </si>
  <si>
    <t>ENSMUSG00000021065</t>
  </si>
  <si>
    <t>ENSMUSG00000020592</t>
  </si>
  <si>
    <t>ENSMUSG00000052102</t>
  </si>
  <si>
    <t>Slc11a2</t>
  </si>
  <si>
    <t>Nr4a1</t>
  </si>
  <si>
    <t>Ether lipid metabolism - Mus musculus (mouse)</t>
  </si>
  <si>
    <t>Bax</t>
  </si>
  <si>
    <t>ENSMUSG00000016534</t>
  </si>
  <si>
    <t>ENSMUSG00000008855</t>
  </si>
  <si>
    <t>Inpp5a</t>
  </si>
  <si>
    <t>Inpp5b</t>
  </si>
  <si>
    <t>Inpp5d</t>
  </si>
  <si>
    <t>Csf2rb2</t>
  </si>
  <si>
    <t>H2-Ab1</t>
  </si>
  <si>
    <t>Arg2</t>
  </si>
  <si>
    <t>ENSMUSG00000002147</t>
  </si>
  <si>
    <t>Ltbr</t>
  </si>
  <si>
    <t>Mut</t>
  </si>
  <si>
    <t>ENSMUSG00000040016</t>
  </si>
  <si>
    <t>ENSMUSG00000024112</t>
  </si>
  <si>
    <t>Fn1</t>
  </si>
  <si>
    <t>Naip2</t>
  </si>
  <si>
    <t>ENSMUSG00000032089</t>
  </si>
  <si>
    <t>Eno3</t>
  </si>
  <si>
    <t>ENSMUSG00000022994</t>
  </si>
  <si>
    <t>ENSMUSG00000022996</t>
  </si>
  <si>
    <t>Ptprf</t>
  </si>
  <si>
    <t>Ap1g2</t>
  </si>
  <si>
    <t>Galactose metabolism - Mus musculus (mouse)</t>
  </si>
  <si>
    <t>ENSMUSG00000028528</t>
  </si>
  <si>
    <t>ENSMUSG00000042349</t>
  </si>
  <si>
    <t>ENSMUSG00000075334</t>
  </si>
  <si>
    <t>ENSMUSG00000032402</t>
  </si>
  <si>
    <t>ENSMUSG00000059412</t>
  </si>
  <si>
    <t>ENSMUSG00000020053</t>
  </si>
  <si>
    <t>Bdkrb1</t>
  </si>
  <si>
    <t>None</t>
  </si>
  <si>
    <t>Itgb8</t>
  </si>
  <si>
    <t>Tmsb4x</t>
  </si>
  <si>
    <t>ENSMUSG00000015575</t>
  </si>
  <si>
    <t>ENSMUSG00000000708</t>
  </si>
  <si>
    <t>ENSMUSG00000033379</t>
  </si>
  <si>
    <t>ENSMUSG00000048915</t>
  </si>
  <si>
    <t>ENSMUSG00000000326</t>
  </si>
  <si>
    <t>ENSMUSG00000033373</t>
  </si>
  <si>
    <t>Sirt1</t>
  </si>
  <si>
    <t>ENSMUSG00000032578</t>
  </si>
  <si>
    <t>Fxyd2</t>
  </si>
  <si>
    <t>ENSMUSG00000024338</t>
  </si>
  <si>
    <t>Hspb1</t>
  </si>
  <si>
    <t>ENSMUSG00000032572</t>
  </si>
  <si>
    <t>ENSMUSG00000021508</t>
  </si>
  <si>
    <t>ENSMUSG00000037706</t>
  </si>
  <si>
    <t>ENSMUSG00000024026</t>
  </si>
  <si>
    <t>ENSMUSG00000060550</t>
  </si>
  <si>
    <t>ENSMUSG00000040329</t>
  </si>
  <si>
    <t>Acox3</t>
  </si>
  <si>
    <t>RIG-I-like receptor signaling pathway - Mus musculus (mouse)</t>
  </si>
  <si>
    <t>ENSMUSG00000074892</t>
  </si>
  <si>
    <t>Aldh9a1</t>
  </si>
  <si>
    <t>Traf1</t>
  </si>
  <si>
    <t>Traf2</t>
  </si>
  <si>
    <t>Lrp1</t>
  </si>
  <si>
    <t>Phosphatidylinositol signaling system - Mus musculus (mouse)</t>
  </si>
  <si>
    <t>Traf6</t>
  </si>
  <si>
    <t>Atp2a3</t>
  </si>
  <si>
    <t>ENSMUSG00000024337</t>
  </si>
  <si>
    <t>ENSMUSG00000024334</t>
  </si>
  <si>
    <t>ENSMUSG00000010660</t>
  </si>
  <si>
    <t>ENSMUSG00000022971</t>
  </si>
  <si>
    <t>ENSMUSG00000044005</t>
  </si>
  <si>
    <t>Pik3r5</t>
  </si>
  <si>
    <t>Pik3r2</t>
  </si>
  <si>
    <t>Pik3r1</t>
  </si>
  <si>
    <t>Prkacb</t>
  </si>
  <si>
    <t>Sema4a</t>
  </si>
  <si>
    <t>Relt</t>
  </si>
  <si>
    <t>ENSMUSG00000024241</t>
  </si>
  <si>
    <t>ENSMUSG00000020901</t>
  </si>
  <si>
    <t>ENSMUSG00000059456</t>
  </si>
  <si>
    <t>Il21r</t>
  </si>
  <si>
    <t>Zmat3</t>
  </si>
  <si>
    <t>T cell receptor signaling pathway - Mus musculus (mouse)</t>
  </si>
  <si>
    <t>ENSMUSG00000015750</t>
  </si>
  <si>
    <t>ErbB signaling pathway - Mus musculus (mouse)</t>
  </si>
  <si>
    <t>Nrg1</t>
  </si>
  <si>
    <t>Aldh3b1</t>
  </si>
  <si>
    <t>ENSMUSG00000061928</t>
  </si>
  <si>
    <t>ENSMUSG00000063887</t>
  </si>
  <si>
    <t>Ctf1</t>
  </si>
  <si>
    <t>Hmox1</t>
  </si>
  <si>
    <t>Type I diabetes mellitus - Mus musculus (mouse)</t>
  </si>
  <si>
    <t>Iqsec1</t>
  </si>
  <si>
    <t>ENSMUSG00000003352</t>
  </si>
  <si>
    <t>ENSMUSG00000073557</t>
  </si>
  <si>
    <t>ENSMUSG00000031537</t>
  </si>
  <si>
    <t>Galnt14</t>
  </si>
  <si>
    <t>Ddx3y</t>
  </si>
  <si>
    <t>Galnt10</t>
  </si>
  <si>
    <t>ENSMUSG00000028581</t>
  </si>
  <si>
    <t>Leishmaniasis - Mus musculus (mouse)</t>
  </si>
  <si>
    <t>ENSMUSG00000030827</t>
  </si>
  <si>
    <t>ENSMUSG00000030826</t>
  </si>
  <si>
    <t>ENSMUSG00000021190</t>
  </si>
  <si>
    <t>Kit</t>
  </si>
  <si>
    <t>ENSMUSG00000031842</t>
  </si>
  <si>
    <t>Adam17</t>
  </si>
  <si>
    <t>ENSMUSG00000029998</t>
  </si>
  <si>
    <t>Chmp2b</t>
  </si>
  <si>
    <t>ENSMUSG00000032047</t>
  </si>
  <si>
    <t>Cish</t>
  </si>
  <si>
    <t>Cd79b</t>
  </si>
  <si>
    <t>ENSMUSG00000022186</t>
  </si>
  <si>
    <t>ENSMUSG00000023169</t>
  </si>
  <si>
    <t>ENSMUSG00000073792</t>
  </si>
  <si>
    <t>ENSMUSG00000031286</t>
  </si>
  <si>
    <t>ENSMUSG00000049502</t>
  </si>
  <si>
    <t>ENSMUSG00000038037</t>
  </si>
  <si>
    <t>ENSMUSG00000043004</t>
  </si>
  <si>
    <t>Psme2b-ps</t>
  </si>
  <si>
    <t>Hal</t>
  </si>
  <si>
    <t>Alg2</t>
  </si>
  <si>
    <t>Alg6</t>
  </si>
  <si>
    <t>Nfasc</t>
  </si>
  <si>
    <t>ENSMUSG00000029209</t>
  </si>
  <si>
    <t>ENSMUSG00000057897</t>
  </si>
  <si>
    <t>ENSMUSG00000029201</t>
  </si>
  <si>
    <t>Iqgap1</t>
  </si>
  <si>
    <t>Iqgap2</t>
  </si>
  <si>
    <t>ENSMUSG00000022562</t>
  </si>
  <si>
    <t>ENSMUSG00000047454</t>
  </si>
  <si>
    <t>Lyz1</t>
  </si>
  <si>
    <t>Ptger3</t>
  </si>
  <si>
    <t>ENSMUSG00000022329</t>
  </si>
  <si>
    <t>ENSMUSG00000015966</t>
  </si>
  <si>
    <t>ENSMUSG00000069045</t>
  </si>
  <si>
    <t>Lck</t>
  </si>
  <si>
    <t>Idi1</t>
  </si>
  <si>
    <t>ENSMUSG00000021696</t>
  </si>
  <si>
    <t>Vitamin B6 metabolism - Mus musculus (mouse)</t>
  </si>
  <si>
    <t>ENSMUSG00000029330</t>
  </si>
  <si>
    <t>ENSMUSG00000022414</t>
  </si>
  <si>
    <t>Fatty acid metabolism - Mus musculus (mouse)</t>
  </si>
  <si>
    <t>GABAergic synapse - Mus musculus (mouse)</t>
  </si>
  <si>
    <t>ENSMUSG00000060586</t>
  </si>
  <si>
    <t>ENSMUSG00000025321</t>
  </si>
  <si>
    <t>Erbb2</t>
  </si>
  <si>
    <t>Cttn</t>
  </si>
  <si>
    <t>ENSMUSG00000048677</t>
  </si>
  <si>
    <t>C1ra</t>
  </si>
  <si>
    <t>ENSMUSG00000021054</t>
  </si>
  <si>
    <t>ENSMUSG00000020900</t>
  </si>
  <si>
    <t>ENSMUSG00000020585</t>
  </si>
  <si>
    <t>ENSMUSG00000020580</t>
  </si>
  <si>
    <t>Chronic myeloid leukemia - Mus musculus (mouse)</t>
  </si>
  <si>
    <t>Fos</t>
  </si>
  <si>
    <t>ENSMUSG00000023905</t>
  </si>
  <si>
    <t>ENSMUSG00000008461</t>
  </si>
  <si>
    <t>ENSMUSG00000046432</t>
  </si>
  <si>
    <t>ENSMUSG00000028552</t>
  </si>
  <si>
    <t>Egfr</t>
  </si>
  <si>
    <t>ENSMUSG00000028551</t>
  </si>
  <si>
    <t>ENSMUSG00000025037</t>
  </si>
  <si>
    <t>Furin</t>
  </si>
  <si>
    <t>ENSMUSG00000052593</t>
  </si>
  <si>
    <t>Bub1b</t>
  </si>
  <si>
    <t>ENSMUSG00000035521</t>
  </si>
  <si>
    <t>Insulin signaling pathway - Mus musculus (mouse)</t>
  </si>
  <si>
    <t>ENSMUSG00000072949</t>
  </si>
  <si>
    <t>Il25</t>
  </si>
  <si>
    <t>Ccl6</t>
  </si>
  <si>
    <t>H2-Ob</t>
  </si>
  <si>
    <t>H2-Oa</t>
  </si>
  <si>
    <t>Ccl5</t>
  </si>
  <si>
    <t>H2-Q7</t>
  </si>
  <si>
    <t>Ccl9</t>
  </si>
  <si>
    <t>ENSMUSG00000024109</t>
  </si>
  <si>
    <t>H2-Q2</t>
  </si>
  <si>
    <t>ENSMUSG00000064246</t>
  </si>
  <si>
    <t>Myl7</t>
  </si>
  <si>
    <t>ENSMUSG00000053977</t>
  </si>
  <si>
    <t>Myl9</t>
  </si>
  <si>
    <t>Galntl4</t>
  </si>
  <si>
    <t>ENSMUSG00000039191</t>
  </si>
  <si>
    <t>Klk1</t>
  </si>
  <si>
    <t>ENSMUSG00000002489</t>
  </si>
  <si>
    <t>ENSMUSG00000017697</t>
  </si>
  <si>
    <t>ENSMUSG00000020122</t>
  </si>
  <si>
    <t>Tlr9</t>
  </si>
  <si>
    <t>ENSMUSG00000092572</t>
  </si>
  <si>
    <t>ENSMUSG00000020027</t>
  </si>
  <si>
    <t>Mt2</t>
  </si>
  <si>
    <t>ENSMUSG00000000731</t>
  </si>
  <si>
    <t>ENSMUSG00000000732</t>
  </si>
  <si>
    <t>Mt1</t>
  </si>
  <si>
    <t>Ifi30</t>
  </si>
  <si>
    <t>Mdm2</t>
  </si>
  <si>
    <t>ENSMUSG00000032035</t>
  </si>
  <si>
    <t>Isyna1</t>
  </si>
  <si>
    <t>Laptm4a</t>
  </si>
  <si>
    <t>Hspa5</t>
  </si>
  <si>
    <t>Laptm4b</t>
  </si>
  <si>
    <t>ENSMUSG00000002603</t>
  </si>
  <si>
    <t>Pik3cb</t>
  </si>
  <si>
    <t>Man1a</t>
  </si>
  <si>
    <t>ENSMUSG00000053158</t>
  </si>
  <si>
    <t>Plau</t>
  </si>
  <si>
    <t>Pik3cg</t>
  </si>
  <si>
    <t>Pfkm</t>
  </si>
  <si>
    <t>ENSMUSG00000036646</t>
  </si>
  <si>
    <t>B230120H23Rik</t>
  </si>
  <si>
    <t>ENSMUSG00000079547</t>
  </si>
  <si>
    <t>Parva</t>
  </si>
  <si>
    <t>ENSMUSG00000004951</t>
  </si>
  <si>
    <t>ENSMUSG00000021823</t>
  </si>
  <si>
    <t>ENSMUSG00000033295</t>
  </si>
  <si>
    <t>ENSMUSG00000044167</t>
  </si>
  <si>
    <t>ENSMUSG00000027695</t>
  </si>
  <si>
    <t>Spred1</t>
  </si>
  <si>
    <t>ENSMUSG00000074886</t>
  </si>
  <si>
    <t>Colorectal cancer - Mus musculus (mouse)</t>
  </si>
  <si>
    <t>ENSMUSG00000033107</t>
  </si>
  <si>
    <t>Agap3</t>
  </si>
  <si>
    <t>ENSMUSG00000032216</t>
  </si>
  <si>
    <t>Kcnj15</t>
  </si>
  <si>
    <t>Car2</t>
  </si>
  <si>
    <t>Acss2</t>
  </si>
  <si>
    <t>Cybb</t>
  </si>
  <si>
    <t>ENSMUSG00000093620</t>
  </si>
  <si>
    <t>Cyba</t>
  </si>
  <si>
    <t>ENSMUSG00000022965</t>
  </si>
  <si>
    <t>ENSMUSG00000079434</t>
  </si>
  <si>
    <t>ENSMUSG00000020330</t>
  </si>
  <si>
    <t>Got1</t>
  </si>
  <si>
    <t>ENSMUSG00000041538</t>
  </si>
  <si>
    <t>Pgk1</t>
  </si>
  <si>
    <t>Pard3</t>
  </si>
  <si>
    <t>ENSMUSG00000026670</t>
  </si>
  <si>
    <t>ENSMUSG00000062382</t>
  </si>
  <si>
    <t>Smpd3</t>
  </si>
  <si>
    <t>Tuberculosis - Mus musculus (mouse)</t>
  </si>
  <si>
    <t>Il7</t>
  </si>
  <si>
    <t>Il4</t>
  </si>
  <si>
    <t>Il4ra</t>
  </si>
  <si>
    <t>ENSMUSG00000030720</t>
  </si>
  <si>
    <t>ENSMUSG00000027215</t>
  </si>
  <si>
    <t>ENSMUSG00000041624</t>
  </si>
  <si>
    <t>ENSMUSG00000091705</t>
  </si>
  <si>
    <t>ENSMUSG00000023224</t>
  </si>
  <si>
    <t>ENSMUSG00000005034</t>
  </si>
  <si>
    <t>Adipor2</t>
  </si>
  <si>
    <t>ENSMUSG00000038732</t>
  </si>
  <si>
    <t>Dntt</t>
  </si>
  <si>
    <t>Pla2g12a</t>
  </si>
  <si>
    <t>ENSMUSG00000023348</t>
  </si>
  <si>
    <t>Serping1</t>
  </si>
  <si>
    <t>ENSMUSG00000007097</t>
  </si>
  <si>
    <t>Epb4.1l3</t>
  </si>
  <si>
    <t>ENSMUSG00000023353</t>
  </si>
  <si>
    <t>Tapbp</t>
  </si>
  <si>
    <t>Hadhb</t>
  </si>
  <si>
    <t>ENSMUSG00000027073</t>
  </si>
  <si>
    <t>ENSMUSG00000014773</t>
  </si>
  <si>
    <t>ENSMUSG00000026073</t>
  </si>
  <si>
    <t>Ptpn1</t>
  </si>
  <si>
    <t>-</t>
  </si>
  <si>
    <t>ENSMUSG00000020713</t>
  </si>
  <si>
    <t>ENSMUSG00000000869</t>
  </si>
  <si>
    <t>ENSMUSG00000031539</t>
  </si>
  <si>
    <t>ENSMUSG00000036880</t>
  </si>
  <si>
    <t>Ctsh</t>
  </si>
  <si>
    <t>Ctsl</t>
  </si>
  <si>
    <t>ENSMUSG00000020716</t>
  </si>
  <si>
    <t>ENSMUSG00000004347</t>
  </si>
  <si>
    <t>ENSMUSG00000026102</t>
  </si>
  <si>
    <t>Vav1</t>
  </si>
  <si>
    <t>Zbp1</t>
  </si>
  <si>
    <t>Vav3</t>
  </si>
  <si>
    <t>Vav2</t>
  </si>
  <si>
    <t>Ctsd</t>
  </si>
  <si>
    <t>Tcirg1</t>
  </si>
  <si>
    <t>Ctsz</t>
  </si>
  <si>
    <t>Dopaminergic synapse - Mus musculus (mouse)</t>
  </si>
  <si>
    <t>Hgsnat</t>
  </si>
  <si>
    <t>Numb</t>
  </si>
  <si>
    <t>ENSMUSG00000022770</t>
  </si>
  <si>
    <t>Ctss</t>
  </si>
  <si>
    <t>ENSMUSG00000031274</t>
  </si>
  <si>
    <t>ENSMUSG00000031278</t>
  </si>
  <si>
    <t>ENSMUSG00000038128</t>
  </si>
  <si>
    <t>Cldn8</t>
  </si>
  <si>
    <t>Fgf13</t>
  </si>
  <si>
    <t>ENSMUSG00000021196</t>
  </si>
  <si>
    <t>Ptpn6</t>
  </si>
  <si>
    <t>Cldn1</t>
  </si>
  <si>
    <t>Mapk8</t>
  </si>
  <si>
    <t>Cldn3</t>
  </si>
  <si>
    <t>Cldn4</t>
  </si>
  <si>
    <t>Cldn7</t>
  </si>
  <si>
    <t>GnRH signaling pathway - Mus musculus (mouse)</t>
  </si>
  <si>
    <t>Kat2b</t>
  </si>
  <si>
    <t>ENSMUSG00000028837</t>
  </si>
  <si>
    <t>Smpd1</t>
  </si>
  <si>
    <t>ENSMUSG00000003746</t>
  </si>
  <si>
    <t>Scarb2</t>
  </si>
  <si>
    <t>ENSMUSG00000027962</t>
  </si>
  <si>
    <t>Socs1</t>
  </si>
  <si>
    <t>Gnaq</t>
  </si>
  <si>
    <t>Socs3</t>
  </si>
  <si>
    <t>Socs2</t>
  </si>
  <si>
    <t>ENSMUSG00000069094</t>
  </si>
  <si>
    <t>ENSMUSG00000012296</t>
  </si>
  <si>
    <t>Atp1a2</t>
  </si>
  <si>
    <t>Endocrine and other factor-regulated calcium reabsorption - Mus musculus (mouse)</t>
  </si>
  <si>
    <t>ENSMUSG00000026417</t>
  </si>
  <si>
    <t>Gna14</t>
  </si>
  <si>
    <t>ENSMUSG00000034730</t>
  </si>
  <si>
    <t>Gna11</t>
  </si>
  <si>
    <t>ENSMUSG00000024772</t>
  </si>
  <si>
    <t>Thy1</t>
  </si>
  <si>
    <t>Cysltr2</t>
  </si>
  <si>
    <t>ENSMUSG00000038235</t>
  </si>
  <si>
    <t>Cdkn1b</t>
  </si>
  <si>
    <t>Cdkn1a</t>
  </si>
  <si>
    <t>ENSMUSG00000078153</t>
  </si>
  <si>
    <t>ENSMUSG00000025020</t>
  </si>
  <si>
    <t>ENSMUSG00000043430</t>
  </si>
  <si>
    <t>Glo1</t>
  </si>
  <si>
    <t>Gabbr1</t>
  </si>
  <si>
    <t>Frs2</t>
  </si>
  <si>
    <t>ENSMUSG00000034917</t>
  </si>
  <si>
    <t>Ugp2</t>
  </si>
  <si>
    <t>Cxcl12</t>
  </si>
  <si>
    <t>Bmpr1a</t>
  </si>
  <si>
    <t>Cds1</t>
  </si>
  <si>
    <t>Cds2</t>
  </si>
  <si>
    <t>ENSMUSG00000035513</t>
  </si>
  <si>
    <t>ENSMUSG00000020484</t>
  </si>
  <si>
    <t>Tjap1</t>
  </si>
  <si>
    <t>Entpd4</t>
  </si>
  <si>
    <t>Entpd3</t>
  </si>
  <si>
    <t>ENSMUSG00000024132</t>
  </si>
  <si>
    <t>ENSMUSG00000021457</t>
  </si>
  <si>
    <t>Msn</t>
  </si>
  <si>
    <t>Llgl2</t>
  </si>
  <si>
    <t>Prdx6</t>
  </si>
  <si>
    <t>Leukocyte transendothelial migration - Mus musculus (mouse)</t>
  </si>
  <si>
    <t>Comt</t>
  </si>
  <si>
    <t>Mgat5b</t>
  </si>
  <si>
    <t>Apoptosis - Mus musculus (mouse)</t>
  </si>
  <si>
    <t>ENSMUSG00000032175</t>
  </si>
  <si>
    <t>Vdr</t>
  </si>
  <si>
    <t>Slc9a1</t>
  </si>
  <si>
    <t>ENSMUSG00000031289</t>
  </si>
  <si>
    <t>Hagh</t>
  </si>
  <si>
    <t>ENSMUSG00000044485</t>
  </si>
  <si>
    <t>Prion diseases - Mus musculus (mouse)</t>
  </si>
  <si>
    <t>P4ha2</t>
  </si>
  <si>
    <t>Hspa1b</t>
  </si>
  <si>
    <t>Hspa1a</t>
  </si>
  <si>
    <t>Ifngr1</t>
  </si>
  <si>
    <t>Ifngr2</t>
  </si>
  <si>
    <t>ENSMUSG00000002900</t>
  </si>
  <si>
    <t>ENSMUSG00000033352</t>
  </si>
  <si>
    <t>Gm4952</t>
  </si>
  <si>
    <t>Myo10</t>
  </si>
  <si>
    <t>ENSMUSG00000036073</t>
  </si>
  <si>
    <t>Man2b1</t>
  </si>
  <si>
    <t>Inositol phosphate metabolism - Mus musculus (mouse)</t>
  </si>
  <si>
    <t>Prodh</t>
  </si>
  <si>
    <t>ENSMUSG00000039982</t>
  </si>
  <si>
    <t>Ccl20</t>
  </si>
  <si>
    <t>Ccl22</t>
  </si>
  <si>
    <t>Ccl25</t>
  </si>
  <si>
    <t>ENSMUSG00000022066</t>
  </si>
  <si>
    <t>Egln3</t>
  </si>
  <si>
    <t>Egln2</t>
  </si>
  <si>
    <t>Wnt10a</t>
  </si>
  <si>
    <t>Wnt10b</t>
  </si>
  <si>
    <t>Cd8a</t>
  </si>
  <si>
    <t>Plb1</t>
  </si>
  <si>
    <t>Serpinb10-ps</t>
  </si>
  <si>
    <t>Icosl</t>
  </si>
  <si>
    <t>ENSMUSG00000024798</t>
  </si>
  <si>
    <t>ENSMUSG00000058325</t>
  </si>
  <si>
    <t>ENSMUSG00000020451</t>
  </si>
  <si>
    <t>ENSMUSG00000030934</t>
  </si>
  <si>
    <t>Map2k1</t>
  </si>
  <si>
    <t>ENSMUSG00000024640</t>
  </si>
  <si>
    <t>Map2k4</t>
  </si>
  <si>
    <t>ENSMUSG00000075122</t>
  </si>
  <si>
    <t>ENSMUSG00000027111</t>
  </si>
  <si>
    <t>Dtx4</t>
  </si>
  <si>
    <t>Il23a</t>
  </si>
  <si>
    <t>Prnp</t>
  </si>
  <si>
    <t>gene_id</t>
  </si>
  <si>
    <t>Herpes simplex infection - Mus musculus (mouse)</t>
  </si>
  <si>
    <t>ENSMUSG00000018169</t>
  </si>
  <si>
    <t>ENSMUSG00000024867</t>
  </si>
  <si>
    <t>ENSMUSG00000037033</t>
  </si>
  <si>
    <t>ENSMUSG00000000184</t>
  </si>
  <si>
    <t>Glycosphingolipid biosynthesis - globo series - Mus musculus (mouse)</t>
  </si>
  <si>
    <t>Cyb5r1</t>
  </si>
  <si>
    <t>ENSMUSG00000000290</t>
  </si>
  <si>
    <t>Il6st</t>
  </si>
  <si>
    <t>Rapgef1</t>
  </si>
  <si>
    <t>ENSMUSG00000059495</t>
  </si>
  <si>
    <t>HTLV-I infection - Mus musculus (mouse)</t>
  </si>
  <si>
    <t>Kpna2</t>
  </si>
  <si>
    <t>Kpna1</t>
  </si>
  <si>
    <t>ENSMUSG00000030110</t>
  </si>
  <si>
    <t>ENSMUSG00000051790</t>
  </si>
  <si>
    <t>ENSMUSG00000027663</t>
  </si>
  <si>
    <t>ENSMUSG00000030849</t>
  </si>
  <si>
    <t>ENSMUSG00000027669</t>
  </si>
  <si>
    <t>Alcam</t>
  </si>
  <si>
    <t>ENSMUSG00000038580</t>
  </si>
  <si>
    <t>ENSMUSG00000015647</t>
  </si>
  <si>
    <t>ENSMUSG00000030595</t>
  </si>
  <si>
    <t>Clca2</t>
  </si>
  <si>
    <t>Clca3</t>
  </si>
  <si>
    <t>Clca1</t>
  </si>
  <si>
    <t>ENSMUSG00000040471</t>
  </si>
  <si>
    <t>Clca5</t>
  </si>
  <si>
    <t>ENSMUSG00000030203</t>
  </si>
  <si>
    <t>ENSMUSG00000015340</t>
  </si>
  <si>
    <t>ENSMUSG00000006442</t>
  </si>
  <si>
    <t>ENSMUSG00000006445</t>
  </si>
  <si>
    <t>Cxadr</t>
  </si>
  <si>
    <t>Ddx58</t>
  </si>
  <si>
    <t>Bpgm</t>
  </si>
  <si>
    <t>ENSMUSG00000060961</t>
  </si>
  <si>
    <t>Cpt2</t>
  </si>
  <si>
    <t>Kcnq3</t>
  </si>
  <si>
    <t>Kcnq1</t>
  </si>
  <si>
    <t>ENSMUSG00000003573</t>
  </si>
  <si>
    <t>ENSMUSG00000026425</t>
  </si>
  <si>
    <t>Ccnb1</t>
  </si>
  <si>
    <t>Hepatitis C - Mus musculus (mouse)</t>
  </si>
  <si>
    <t>Magi1</t>
  </si>
  <si>
    <t>Rab11fip2</t>
  </si>
  <si>
    <t>Hexb</t>
  </si>
  <si>
    <t>Ifnar2</t>
  </si>
  <si>
    <t>Fasn</t>
  </si>
  <si>
    <t>ENSMUSG00000042460</t>
  </si>
  <si>
    <t>Chemokine signaling pathway - Mus musculus (mouse)</t>
  </si>
  <si>
    <t>ENSMUSG00000056258</t>
  </si>
  <si>
    <t>Hck</t>
  </si>
  <si>
    <t>ENSMUSG00000040701</t>
  </si>
  <si>
    <t>ENSMUSG00000047126</t>
  </si>
  <si>
    <t>Focal adhesion - Mus musculus (mouse)</t>
  </si>
  <si>
    <t>Pfn2</t>
  </si>
  <si>
    <t>ENSMUSG00000003752</t>
  </si>
  <si>
    <t>Stat6</t>
  </si>
  <si>
    <t>Hematopoietic cell lineage - Mus musculus (mouse)</t>
  </si>
  <si>
    <t>Stat3</t>
  </si>
  <si>
    <t>Stat2</t>
  </si>
  <si>
    <t>Stat1</t>
  </si>
  <si>
    <t>H2-DMb2</t>
  </si>
  <si>
    <t>H2-DMb1</t>
  </si>
  <si>
    <t>ENSMUSG00000022438</t>
  </si>
  <si>
    <t>Il1r2</t>
  </si>
  <si>
    <t>Lipa</t>
  </si>
  <si>
    <t>Mgst3</t>
  </si>
  <si>
    <t>ENSMUSG00000036856</t>
  </si>
  <si>
    <t>Jag2</t>
  </si>
  <si>
    <t>B4galt6</t>
  </si>
  <si>
    <t>Amino sugar and nucleotide sugar metabolism - Mus musculus (mouse)</t>
  </si>
  <si>
    <t>ENSMUSG00000047945</t>
  </si>
  <si>
    <t>ENSMUSG00000039067</t>
  </si>
  <si>
    <t>ENSMUSG00000025014</t>
  </si>
  <si>
    <t>Chagas disease (American trypanosomiasis) - Mus musculus (mouse)</t>
  </si>
  <si>
    <t>Tjp3</t>
  </si>
  <si>
    <t>Cdc16</t>
  </si>
  <si>
    <t>Mknk2</t>
  </si>
  <si>
    <t>ENSMUSG00000028159</t>
  </si>
  <si>
    <t>ENSMUSG00000006134</t>
  </si>
  <si>
    <t>ENSMUSG00000061878</t>
  </si>
  <si>
    <t>ENSMUSG00000052776</t>
  </si>
  <si>
    <t>ENSMUSG00000042082</t>
  </si>
  <si>
    <t>ENSMUSG00000008318</t>
  </si>
  <si>
    <t>Tnfsf10</t>
  </si>
  <si>
    <t>H2-Aa</t>
  </si>
  <si>
    <t>Cfl2</t>
  </si>
  <si>
    <t>Smurf2</t>
  </si>
  <si>
    <t>ENSMUSG00000032348</t>
  </si>
  <si>
    <t>Timp1</t>
  </si>
  <si>
    <t>Efna5</t>
  </si>
  <si>
    <t>ENSMUSG00000031078</t>
  </si>
  <si>
    <t>ENSMUSG00000020143</t>
  </si>
  <si>
    <t>ENSMUSG00000020009</t>
  </si>
  <si>
    <t>ENSMUSG00000021536</t>
  </si>
  <si>
    <t>Il13ra2</t>
  </si>
  <si>
    <t>ENSMUSG00000022895</t>
  </si>
  <si>
    <t>ENSMUSG00000018566</t>
  </si>
  <si>
    <t>Pla2g3</t>
  </si>
  <si>
    <t>ENSMUSG00000017652</t>
  </si>
  <si>
    <t>ENSMUSG00000018569</t>
  </si>
  <si>
    <t>Pcyox1</t>
  </si>
  <si>
    <t>Hspg2</t>
  </si>
  <si>
    <t>Glb1</t>
  </si>
  <si>
    <t>ENSMUSG00000091387</t>
  </si>
  <si>
    <t>ENSMUSG00000001131</t>
  </si>
  <si>
    <t>ENSMUSG00000032527</t>
  </si>
  <si>
    <t>ENSMUSG00000018899</t>
  </si>
  <si>
    <t>ENSMUSG00000063727</t>
  </si>
  <si>
    <t>Me2</t>
  </si>
  <si>
    <t>ENSMUSG00000078853</t>
  </si>
  <si>
    <t>Intestinal immune network for IgA production - Mus musculus (mouse)</t>
  </si>
  <si>
    <t>Pla2g4a</t>
  </si>
  <si>
    <t>ENSMUSG00000053044</t>
  </si>
  <si>
    <t>ENSMUSG00000025283</t>
  </si>
  <si>
    <t>Psd3</t>
  </si>
  <si>
    <t>Limk2</t>
  </si>
  <si>
    <t>ENSMUSG00000024304</t>
  </si>
  <si>
    <t>ENSMUSG00000008136</t>
  </si>
  <si>
    <t>Mgat4b</t>
  </si>
  <si>
    <t>ENSMUSG00000020315</t>
  </si>
  <si>
    <t>ENSMUSG00000041515</t>
  </si>
  <si>
    <t>ENSMUSG00000064289</t>
  </si>
  <si>
    <t>Tspo</t>
  </si>
  <si>
    <t>ENSMUSG00000024308</t>
  </si>
  <si>
    <t>ENSMUSG00000040249</t>
  </si>
  <si>
    <t>ENSMUSG00000019942</t>
  </si>
  <si>
    <t>Tnfaip3</t>
  </si>
  <si>
    <t>Sh3gl1</t>
  </si>
  <si>
    <t>Rfxap</t>
  </si>
  <si>
    <t>Sst</t>
  </si>
  <si>
    <t>ENSMUSG00000024158</t>
  </si>
  <si>
    <t>Asthma - Mus musculus (mouse)</t>
  </si>
  <si>
    <t>Lamb1</t>
  </si>
  <si>
    <t>Lamb3</t>
  </si>
  <si>
    <t>ENSMUSG00000041608</t>
  </si>
  <si>
    <t>ENSMUSG00000002983</t>
  </si>
  <si>
    <t>Atox1</t>
  </si>
  <si>
    <t>Hepatitis B - Mus musculus (mouse)</t>
  </si>
  <si>
    <t>Aldh3a2</t>
  </si>
  <si>
    <t>Adar</t>
  </si>
  <si>
    <t>Aldh3a1</t>
  </si>
  <si>
    <t>Thbs2</t>
  </si>
  <si>
    <t>Thbs3</t>
  </si>
  <si>
    <t>Cat</t>
  </si>
  <si>
    <t>Aldh6a1</t>
  </si>
  <si>
    <t>Sema3a</t>
  </si>
  <si>
    <t>Ifih1</t>
  </si>
  <si>
    <t>ENSMUSG00000024151</t>
  </si>
  <si>
    <t>ENSMUSG00000000409</t>
  </si>
  <si>
    <t>Psapl1</t>
  </si>
  <si>
    <t>ENSMUSG00000031503</t>
  </si>
  <si>
    <t>ENSMUSG00000031502</t>
  </si>
  <si>
    <t>Ncam1</t>
  </si>
  <si>
    <t>ENSMUSG00000030872</t>
  </si>
  <si>
    <t>ENSMUSG00000060600</t>
  </si>
  <si>
    <t>ENSMUSG00000019761</t>
  </si>
  <si>
    <t>ENSMUSG00000055447</t>
  </si>
  <si>
    <t>Uxs1</t>
  </si>
  <si>
    <t>Ada</t>
  </si>
  <si>
    <t>Pias2</t>
  </si>
  <si>
    <t>Dll1</t>
  </si>
  <si>
    <t>Dll4</t>
  </si>
  <si>
    <t>ENSMUSG00000031897</t>
  </si>
  <si>
    <t>Madcam1</t>
  </si>
  <si>
    <t>ENSMUSG00000006457</t>
  </si>
  <si>
    <t>Small cell lung cancer - Mus musculus (mouse)</t>
  </si>
  <si>
    <t>ENSMUSG00000005763</t>
  </si>
  <si>
    <t>Pccb</t>
  </si>
  <si>
    <t>Alox5</t>
  </si>
  <si>
    <t>ENSMUSG00000004366</t>
  </si>
  <si>
    <t>ENSMUSG00000040808</t>
  </si>
  <si>
    <t>ENSMUSG00000040022</t>
  </si>
  <si>
    <t>ENSMUSG00000023150</t>
  </si>
  <si>
    <t>ENSMUSG00000034116</t>
  </si>
  <si>
    <t>Crkl</t>
  </si>
  <si>
    <t>ENSMUSG00000026321</t>
  </si>
  <si>
    <t>ENSMUSG00000029811</t>
  </si>
  <si>
    <t>Atp6v1g1</t>
  </si>
  <si>
    <t>ENSMUSG00000047139</t>
  </si>
  <si>
    <t>ENSMUSG00000025534</t>
  </si>
  <si>
    <t>ENSMUSG00000025792</t>
  </si>
  <si>
    <t>ENSMUSG00000025791</t>
  </si>
  <si>
    <t>Dnase2a</t>
  </si>
  <si>
    <t>Acvr1b</t>
  </si>
  <si>
    <t>Renal cell carcinoma - Mus musculus (mouse)</t>
  </si>
  <si>
    <t>ENSMUSG00000003031</t>
  </si>
  <si>
    <t>Oxct1</t>
  </si>
  <si>
    <t>ENSMUSG00000020792</t>
  </si>
  <si>
    <t>ENSMUSG00000024781</t>
  </si>
  <si>
    <t>ENSMUSG00000028789</t>
  </si>
  <si>
    <t>ENSMUSG00000034684</t>
  </si>
  <si>
    <t>Rrm2</t>
  </si>
  <si>
    <t>Abi2</t>
  </si>
  <si>
    <t>Cth</t>
  </si>
  <si>
    <t>ENSMUSG00000032487</t>
  </si>
  <si>
    <t>Phkg2</t>
  </si>
  <si>
    <t>ENSMUSG00000025225</t>
  </si>
  <si>
    <t>ENSMUSG00000021025</t>
  </si>
  <si>
    <t>ENSMUSG00000023034</t>
  </si>
  <si>
    <t>Sar1b</t>
  </si>
  <si>
    <t>ENSMUSG00000021022</t>
  </si>
  <si>
    <t>Pmaip1</t>
  </si>
  <si>
    <t>ENSMUSG00000002102</t>
  </si>
  <si>
    <t>Mylk</t>
  </si>
  <si>
    <t>Hdc</t>
  </si>
  <si>
    <t>B cell receptor signaling pathway - Mus musculus (mouse)</t>
  </si>
  <si>
    <t>ENSMUSG00000016283</t>
  </si>
  <si>
    <t>Inppl1</t>
  </si>
  <si>
    <t>ENSMUSG00000062991</t>
  </si>
  <si>
    <t>ENSMUSG00000028965</t>
  </si>
  <si>
    <t>Legionellosis - Mus musculus (mouse)</t>
  </si>
  <si>
    <t>Cln3</t>
  </si>
  <si>
    <t>Cytosolic DNA-sensing pathway - Mus musculus (mouse)</t>
  </si>
  <si>
    <t>ENSMUSG00000020170</t>
  </si>
  <si>
    <t>Tcf7</t>
  </si>
  <si>
    <t>ENSMUSG00000020178</t>
  </si>
  <si>
    <t>ENSMUSG00000028364</t>
  </si>
  <si>
    <t>Irak2</t>
  </si>
  <si>
    <t>Dusp4</t>
  </si>
  <si>
    <t>Dusp6</t>
  </si>
  <si>
    <t>Dusp1</t>
  </si>
  <si>
    <t>Dapk2</t>
  </si>
  <si>
    <t>Pyruvate metabolism - Mus musculus (mouse)</t>
  </si>
  <si>
    <t>ENSMUSG00000032688</t>
  </si>
  <si>
    <t>Ugdh</t>
  </si>
  <si>
    <t>ENSMUSG00000050965</t>
  </si>
  <si>
    <t>ENSMUSG00000032350</t>
  </si>
  <si>
    <t>ENSMUSG00000021253</t>
  </si>
  <si>
    <t>ENSMUSG00000002033</t>
  </si>
  <si>
    <t>ENSMUSG00000052684</t>
  </si>
  <si>
    <t>Gls2</t>
  </si>
  <si>
    <t>ENSMUSG00000017009</t>
  </si>
  <si>
    <t>ENSMUSG00000024064</t>
  </si>
  <si>
    <t>ENSMUSG00000010936</t>
  </si>
  <si>
    <t>ENSMUSG00000020017</t>
  </si>
  <si>
    <t>Rprm</t>
  </si>
  <si>
    <t>ENSMUSG00000021549</t>
  </si>
  <si>
    <t>ENSMUSG00000068747</t>
  </si>
  <si>
    <t>ENSMUSG00000068036</t>
  </si>
  <si>
    <t>ENSMUSG00000068749</t>
  </si>
  <si>
    <t>ENSMUSG00000018574</t>
  </si>
  <si>
    <t>Inmt</t>
  </si>
  <si>
    <t>ENSMUSG00000002325</t>
  </si>
  <si>
    <t>ENSMUSG00000020310</t>
  </si>
  <si>
    <t>ENSMUSG00000067818</t>
  </si>
  <si>
    <t>Ripk2</t>
  </si>
  <si>
    <t>ENSMUSG00000021832</t>
  </si>
  <si>
    <t>ENSMUSG00000053436</t>
  </si>
  <si>
    <t>Taok1</t>
  </si>
  <si>
    <t>Taok3</t>
  </si>
  <si>
    <t>Ngfrap1</t>
  </si>
  <si>
    <t>ENSMUSG00000062609</t>
  </si>
  <si>
    <t>ENSMUSG00000019370</t>
  </si>
  <si>
    <t>ENSMUSG00000021314</t>
  </si>
  <si>
    <t>Tnfrsf8</t>
  </si>
  <si>
    <t>Tnfrsf9</t>
  </si>
  <si>
    <t>Tnfrsf4</t>
  </si>
  <si>
    <t>Actb</t>
  </si>
  <si>
    <t>ENSMUSG00000045730</t>
  </si>
  <si>
    <t>Matk</t>
  </si>
  <si>
    <t>Cpt1a</t>
  </si>
  <si>
    <t>ENSMUSG00000044734</t>
  </si>
  <si>
    <t>ENSMUSG00000030189</t>
  </si>
  <si>
    <t>ENSMUSG00000058230</t>
  </si>
  <si>
    <t>Glycerophospholipid metabolism - Mus musculus (mouse)</t>
  </si>
  <si>
    <t>Rhoq</t>
  </si>
  <si>
    <t>Psd</t>
  </si>
  <si>
    <t>Cntnap1</t>
  </si>
  <si>
    <t>Proteasome - Mus musculus (mouse)</t>
  </si>
  <si>
    <t>Fut2</t>
  </si>
  <si>
    <t>Fut1</t>
  </si>
  <si>
    <t>ENSMUSG00000041075</t>
  </si>
  <si>
    <t>ENSMUSG00000093611</t>
  </si>
  <si>
    <t>Fut8</t>
  </si>
  <si>
    <t>Csf2rb</t>
  </si>
  <si>
    <t>Slc2a4</t>
  </si>
  <si>
    <t>Slc2a1</t>
  </si>
  <si>
    <t>ENSMUSG00000030682</t>
  </si>
  <si>
    <t>ENSMUSG00000033065</t>
  </si>
  <si>
    <t>Pou2f3</t>
  </si>
  <si>
    <t>Plcb2</t>
  </si>
  <si>
    <t>Plcb4</t>
  </si>
  <si>
    <t>ENSMUSG00000000275</t>
  </si>
  <si>
    <t>Slc25a4</t>
  </si>
  <si>
    <t>ENSMUSG00000092009</t>
  </si>
  <si>
    <t>ENSMUSG00000022843</t>
  </si>
  <si>
    <t>ENSMUSG00000022840</t>
  </si>
  <si>
    <t>ENSMUSG00000020941</t>
  </si>
  <si>
    <t>ENSMUSG00000054277</t>
  </si>
  <si>
    <t>Lamc2</t>
  </si>
  <si>
    <t>Acot7</t>
  </si>
  <si>
    <t>Lamc1</t>
  </si>
  <si>
    <t>Acot1</t>
  </si>
  <si>
    <t>Actn3</t>
  </si>
  <si>
    <t>Rac2</t>
  </si>
  <si>
    <t>Rac3</t>
  </si>
  <si>
    <t>Hdac11</t>
  </si>
  <si>
    <t>ENSMUSG00000004085</t>
  </si>
  <si>
    <t>ENSMUSG00000030465</t>
  </si>
  <si>
    <t>Tdh</t>
  </si>
  <si>
    <t>ENSMUSG00000037012</t>
  </si>
  <si>
    <t>ENSMUSG00000037548</t>
  </si>
  <si>
    <t>Epstein-Barr virus infection - Mus musculus (mouse)</t>
  </si>
  <si>
    <t>ENSMUSG00000027646</t>
  </si>
  <si>
    <t>ENSMUSG00000028255</t>
  </si>
  <si>
    <t>Oas3</t>
  </si>
  <si>
    <t>Oas2</t>
  </si>
  <si>
    <t>Asap2</t>
  </si>
  <si>
    <t>ENSMUSG00000030861</t>
  </si>
  <si>
    <t>ENSMUSG00000026229</t>
  </si>
  <si>
    <t>Src</t>
  </si>
  <si>
    <t>H2-Q6</t>
  </si>
  <si>
    <t>ENSMUSG00000030265</t>
  </si>
  <si>
    <t>Lap3</t>
  </si>
  <si>
    <t>Srm</t>
  </si>
  <si>
    <t>ENSMUSG00000021238</t>
  </si>
  <si>
    <t>ENSMUSG00000004791</t>
  </si>
  <si>
    <t>Ap3m2</t>
  </si>
  <si>
    <t>beta-Alanine metabolism - Mus musculus (mouse)</t>
  </si>
  <si>
    <t>ENSMUSG00000073421</t>
  </si>
  <si>
    <t>ENSMUSG00000091971</t>
  </si>
  <si>
    <t>Pld1</t>
  </si>
  <si>
    <t>Jak-STAT signaling pathway - Mus musculus (mouse)</t>
  </si>
  <si>
    <t>ENSMUSG00000000303</t>
  </si>
  <si>
    <t>ENSMUSG00000026687</t>
  </si>
  <si>
    <t>ENSMUSG00000000305</t>
  </si>
  <si>
    <t>Hmgn1</t>
  </si>
  <si>
    <t>ENSMUSG00000000308</t>
  </si>
  <si>
    <t>ENSMUSG00000026688</t>
  </si>
  <si>
    <t>Kcnma1</t>
  </si>
  <si>
    <t>ENSMUSG00000005779</t>
  </si>
  <si>
    <t>ENSMUSG00000040033</t>
  </si>
  <si>
    <t>ENSMUSG00000022146</t>
  </si>
  <si>
    <t>ENSMUSG00000056214</t>
  </si>
  <si>
    <t>Pancreatic cancer - Mus musculus (mouse)</t>
  </si>
  <si>
    <t>Ccnd1</t>
  </si>
  <si>
    <t>Ccnd2</t>
  </si>
  <si>
    <t>Cdkn2a</t>
  </si>
  <si>
    <t>ENSMUSG00000056501</t>
  </si>
  <si>
    <t>Acadl</t>
  </si>
  <si>
    <t>Cd74</t>
  </si>
  <si>
    <t>Cd70</t>
  </si>
  <si>
    <t>Cd72</t>
  </si>
  <si>
    <t>ENSMUSG00000003200</t>
  </si>
  <si>
    <t>ENSMUSG00000035311</t>
  </si>
  <si>
    <t>Jun</t>
  </si>
  <si>
    <t>Smad3</t>
  </si>
  <si>
    <t>Casp12</t>
  </si>
  <si>
    <t>Propanoate metabolism - Mus musculus (mouse)</t>
  </si>
  <si>
    <t>Sphingolipid metabolism - Mus musculus (mouse)</t>
  </si>
  <si>
    <t>ENSMUSG00000048701</t>
  </si>
  <si>
    <t>Arnt2</t>
  </si>
  <si>
    <t>Atp6v0b</t>
  </si>
  <si>
    <t>ENSMUSG00000031137</t>
  </si>
  <si>
    <t>ENSMUSG00000038205</t>
  </si>
  <si>
    <t>Atp6v0e</t>
  </si>
  <si>
    <t>ENSMUSG00000021018</t>
  </si>
  <si>
    <t>Nrxn1</t>
  </si>
  <si>
    <t>ENSMUSG00000047898</t>
  </si>
  <si>
    <t>Slit1</t>
  </si>
  <si>
    <t>ENSMUSG00000020788</t>
  </si>
  <si>
    <t>ENSMUSG00000020573</t>
  </si>
  <si>
    <t>ENSMUSG00000020782</t>
  </si>
  <si>
    <t>ENSMUSG00000025491</t>
  </si>
  <si>
    <t>ENSMUSG00000063903</t>
  </si>
  <si>
    <t>ENSMUSG00000025495</t>
  </si>
  <si>
    <t>Nlrp1b</t>
  </si>
  <si>
    <t>ENSMUSG00000025498</t>
  </si>
  <si>
    <t>ENSMUSG00000025499</t>
  </si>
  <si>
    <t>ENSMUSG00000057329</t>
  </si>
  <si>
    <t>Grk5</t>
  </si>
  <si>
    <t>ENSMUSG00000022216</t>
  </si>
  <si>
    <t>Elovl6</t>
  </si>
  <si>
    <t>Elovl7</t>
  </si>
  <si>
    <t>ENSMUSG00000039304</t>
  </si>
  <si>
    <t>ENSMUSG00000029771</t>
  </si>
  <si>
    <t>Hadh</t>
  </si>
  <si>
    <t>Casp1</t>
  </si>
  <si>
    <t>Gnb4</t>
  </si>
  <si>
    <t>Gnb3</t>
  </si>
  <si>
    <t>p53 signaling pathway - Mus musculus (mouse)</t>
  </si>
  <si>
    <t>ENSMUSG00000034781</t>
  </si>
  <si>
    <t>ENSMUSG00000023947</t>
  </si>
  <si>
    <t>ENSMUSG00000028179</t>
  </si>
  <si>
    <t>Acadvl</t>
  </si>
  <si>
    <t>Histidine metabolism - Mus musculus (mouse)</t>
  </si>
  <si>
    <t>ENSMUSG00000069516</t>
  </si>
  <si>
    <t>ENSMUSG00000032000</t>
  </si>
  <si>
    <t>ENSMUSG00000038843</t>
  </si>
  <si>
    <t>S100g</t>
  </si>
  <si>
    <t>Thbs4</t>
  </si>
  <si>
    <t>Tgfbr2</t>
  </si>
  <si>
    <t>ENSMUSG00000002771</t>
  </si>
  <si>
    <t>Slc34a2</t>
  </si>
  <si>
    <t>ENSMUSG00000016496</t>
  </si>
  <si>
    <t>ENSMUSG00000039747</t>
  </si>
  <si>
    <t>ENSMUSG00000016494</t>
  </si>
  <si>
    <t>ENSMUSG00000018362</t>
  </si>
  <si>
    <t>ENSMUSG00000018363</t>
  </si>
  <si>
    <t>ENSMUSG00000016498</t>
  </si>
  <si>
    <t>Ifi202b</t>
  </si>
  <si>
    <t>Ets2</t>
  </si>
  <si>
    <t>ENSMUSG00000029869</t>
  </si>
  <si>
    <t>Ets1</t>
  </si>
  <si>
    <t>ENSMUSG00000020766</t>
  </si>
  <si>
    <t>ENSMUSG00000037944</t>
  </si>
  <si>
    <t>Vac14</t>
  </si>
  <si>
    <t>ENSMUSG00000024885</t>
  </si>
  <si>
    <t>ENSMUSG00000024079</t>
  </si>
  <si>
    <t>Gab1</t>
  </si>
  <si>
    <t>ENSMUSG00000017639</t>
  </si>
  <si>
    <t>ENSMUSG00000002799</t>
  </si>
  <si>
    <t>Ccl11</t>
  </si>
  <si>
    <t>ENSMUSG00000032786</t>
  </si>
  <si>
    <t>Itgb2</t>
  </si>
  <si>
    <t>Itgb4</t>
  </si>
  <si>
    <t>Itgb7</t>
  </si>
  <si>
    <t>ENSMUSG00000061353</t>
  </si>
  <si>
    <t>Fas</t>
  </si>
  <si>
    <t>ENSMUSG00000032788</t>
  </si>
  <si>
    <t>Mpi</t>
  </si>
  <si>
    <t>ENSMUSG00000021796</t>
  </si>
  <si>
    <t>Pigr</t>
  </si>
  <si>
    <t>ENSMUSG00000053113</t>
  </si>
  <si>
    <t>ENSMUSG00000021820</t>
  </si>
  <si>
    <t>ENSMUSG00000001119</t>
  </si>
  <si>
    <t>ENSMUSG00000021822</t>
  </si>
  <si>
    <t>Gsto1</t>
  </si>
  <si>
    <t>Mpzl1</t>
  </si>
  <si>
    <t>Arhgef12</t>
  </si>
  <si>
    <t>Sema3b</t>
  </si>
  <si>
    <t>Srgap2</t>
  </si>
  <si>
    <t>Cdipt</t>
  </si>
  <si>
    <t>Dtx3l</t>
  </si>
  <si>
    <t>Maged1</t>
  </si>
  <si>
    <t>ENSMUSG00000021953</t>
  </si>
  <si>
    <t>Sema3f</t>
  </si>
  <si>
    <t>Kitl</t>
  </si>
  <si>
    <t>Mgat3</t>
  </si>
  <si>
    <t>Glyoxylate and dicarboxylate metabolism - Mus musculus (mouse)</t>
  </si>
  <si>
    <t>Trem2</t>
  </si>
  <si>
    <t>A4galt</t>
  </si>
  <si>
    <t>Csda</t>
  </si>
  <si>
    <t>ENSMUSG00000058793</t>
  </si>
  <si>
    <t>Ctsa</t>
  </si>
  <si>
    <t>ENSMUSG00000032812</t>
  </si>
  <si>
    <t>Gpx8</t>
  </si>
  <si>
    <t>Robo1</t>
  </si>
  <si>
    <t>Robo2</t>
  </si>
  <si>
    <t>ENSMUSG00000015709</t>
  </si>
  <si>
    <t>ENSMUSG00000019102</t>
  </si>
  <si>
    <t>Npnt</t>
  </si>
  <si>
    <t>Runx1</t>
  </si>
  <si>
    <t>ENSMUSG00000024697</t>
  </si>
  <si>
    <t>ENSMUSG00000030672</t>
  </si>
  <si>
    <t>ENSMUSG00000026782</t>
  </si>
  <si>
    <t>Ctsb</t>
  </si>
  <si>
    <t>ENSMUSG00000021676</t>
  </si>
  <si>
    <t>ENSMUSG00000005360</t>
  </si>
  <si>
    <t>ENSMUSG00000000791</t>
  </si>
  <si>
    <t>Col5a2</t>
  </si>
  <si>
    <t>ENSMUSG00000021678</t>
  </si>
  <si>
    <t>ENSMUSG00000054263</t>
  </si>
  <si>
    <t>ENSMUSG00000032690</t>
  </si>
  <si>
    <t>Tpi1</t>
  </si>
  <si>
    <t>Pdcd1lg2</t>
  </si>
  <si>
    <t>Regulation of actin cytoskeleton - Mus musculus (mouse)</t>
  </si>
  <si>
    <t>ENSMUSG00000033470</t>
  </si>
  <si>
    <t>Rab11fip1</t>
  </si>
  <si>
    <t>ENSMUSG00000063130</t>
  </si>
  <si>
    <t>Rab11fip5</t>
  </si>
  <si>
    <t>Rab11fip4</t>
  </si>
  <si>
    <t>Cd81</t>
  </si>
  <si>
    <t>Cd80</t>
  </si>
  <si>
    <t>Cd82</t>
  </si>
  <si>
    <t>Cd86</t>
  </si>
  <si>
    <t>Endocytosis - Mus musculus (mouse)</t>
  </si>
  <si>
    <t>ENSMUSG00000005540</t>
  </si>
  <si>
    <t>Galt</t>
  </si>
  <si>
    <t>ENSMUSG00000024854</t>
  </si>
  <si>
    <t>Gadd45a</t>
  </si>
  <si>
    <t>Gadd45b</t>
  </si>
  <si>
    <t>Cell adhesion molecules (CAMs) - Mus musculus (mouse)</t>
  </si>
  <si>
    <t>ENSMUSG00000005142</t>
  </si>
  <si>
    <t>Sct</t>
  </si>
  <si>
    <t>Viral myocarditis - Mus musculus (mouse)</t>
  </si>
  <si>
    <t>ENSMUSG00000067235</t>
  </si>
  <si>
    <t>ENSMUSG00000031309</t>
  </si>
  <si>
    <t>ENSMUSG00000041936</t>
  </si>
  <si>
    <t>ENSMUSG00000021224</t>
  </si>
  <si>
    <t>ENSMUSG00000031304</t>
  </si>
  <si>
    <t>Itpk1</t>
  </si>
  <si>
    <t>Epha2</t>
  </si>
  <si>
    <t>Epha1</t>
  </si>
  <si>
    <t>ENSMUSG00000038665</t>
  </si>
  <si>
    <t>Klk1b26</t>
  </si>
  <si>
    <t>Mineral absorption - Mus musculus (mouse)</t>
  </si>
  <si>
    <t>ENSMUSG00000003526</t>
  </si>
  <si>
    <t>ENSMUSG00000014426</t>
  </si>
  <si>
    <t>Gclm</t>
  </si>
  <si>
    <t>ENSMUSG00000017830</t>
  </si>
  <si>
    <t>ENSMUSG00000031530</t>
  </si>
  <si>
    <t>Gclc</t>
  </si>
  <si>
    <t>Aldh2</t>
  </si>
  <si>
    <t>ENSMUSG00000061758</t>
  </si>
  <si>
    <t>Ikbkb</t>
  </si>
  <si>
    <t>Parvb</t>
  </si>
  <si>
    <t>Grap2</t>
  </si>
  <si>
    <t>Ikbke</t>
  </si>
  <si>
    <t>ENSMUSG00000021318</t>
  </si>
  <si>
    <t>African trypanosomiasis - Mus musculus (mouse)</t>
  </si>
  <si>
    <t>Irgm1</t>
  </si>
  <si>
    <t>Ivd</t>
  </si>
  <si>
    <t>ENSMUSG00000051343</t>
  </si>
  <si>
    <t>ENSMUSG00000060802</t>
  </si>
  <si>
    <t>ENSMUSG00000030376</t>
  </si>
  <si>
    <t>Trim25</t>
  </si>
  <si>
    <t>Tec</t>
  </si>
  <si>
    <t>Cd68</t>
  </si>
  <si>
    <t>Fhl2</t>
  </si>
  <si>
    <t>Itpkc</t>
  </si>
  <si>
    <t>ENSMUSG00000044244</t>
  </si>
  <si>
    <t>Siah1a</t>
  </si>
  <si>
    <t>Uap1</t>
  </si>
  <si>
    <t>Psmd11</t>
  </si>
  <si>
    <t>Psmd12</t>
  </si>
  <si>
    <t>Suclg2</t>
  </si>
  <si>
    <t>Suclg1</t>
  </si>
  <si>
    <t>ENSMUSG00000028760</t>
  </si>
  <si>
    <t>ENSMUSG00000028763</t>
  </si>
  <si>
    <t>Rfx5</t>
  </si>
  <si>
    <t>ENSMUSG00000034579</t>
  </si>
  <si>
    <t>Il9r</t>
  </si>
  <si>
    <t>Calml3</t>
  </si>
  <si>
    <t>ENSMUSG00000051048</t>
  </si>
  <si>
    <t>Osteoclast differentiation - Mus musculus (mouse)</t>
  </si>
  <si>
    <t>ENSMUSG00000006494</t>
  </si>
  <si>
    <t>ENSMUSG00000020687</t>
  </si>
  <si>
    <t>ENSMUSG00000025068</t>
  </si>
  <si>
    <t>Aldh7a1</t>
  </si>
  <si>
    <t>ENSMUSG00000029580</t>
  </si>
  <si>
    <t>Slc8a2</t>
  </si>
  <si>
    <t>ENSMUSG00000023951</t>
  </si>
  <si>
    <t>Farp2</t>
  </si>
  <si>
    <t>ENSMUSG00000034312</t>
  </si>
  <si>
    <t>ENSMUSG00000021178</t>
  </si>
  <si>
    <t>ENSMUSG00000038871</t>
  </si>
  <si>
    <t>Bcar1</t>
  </si>
  <si>
    <t>cTEC_log2 (FPKM)</t>
  </si>
  <si>
    <t>immature_TEC_log2 (FPKM)</t>
  </si>
  <si>
    <t>KEGG ID</t>
  </si>
  <si>
    <t>KEGG pathway</t>
  </si>
  <si>
    <t>FDR (BH)</t>
  </si>
  <si>
    <t>No. comparisons that the pathway is enriched in (5%FDR)</t>
  </si>
  <si>
    <t>No. obs.</t>
  </si>
  <si>
    <t>Fold</t>
  </si>
  <si>
    <t>cTEC vs immature TEC</t>
  </si>
  <si>
    <t>Supplementary Table 4. Kegg pathways enriched in genes differentially expressed between three fundamental TEC types  (cTEC, immature mTEC and mature mTEC).</t>
  </si>
  <si>
    <t>Aire_negative_mature_TEC_log2 (FPKM)</t>
  </si>
  <si>
    <r>
      <t xml:space="preserve">cTEC vs </t>
    </r>
    <r>
      <rPr>
        <b/>
        <i/>
        <sz val="11"/>
        <color theme="1"/>
        <rFont val="Calibri"/>
        <family val="2"/>
        <scheme val="minor"/>
      </rPr>
      <t>Aire</t>
    </r>
    <r>
      <rPr>
        <b/>
        <sz val="11"/>
        <color theme="1"/>
        <rFont val="Calibri"/>
        <family val="2"/>
        <scheme val="minor"/>
      </rPr>
      <t xml:space="preserve"> negative mature TEC</t>
    </r>
  </si>
  <si>
    <r>
      <t xml:space="preserve"> immature TEC vs </t>
    </r>
    <r>
      <rPr>
        <b/>
        <i/>
        <sz val="11"/>
        <color theme="1"/>
        <rFont val="Calibri"/>
        <family val="2"/>
        <scheme val="minor"/>
      </rPr>
      <t>Aire</t>
    </r>
    <r>
      <rPr>
        <b/>
        <sz val="11"/>
        <color theme="1"/>
        <rFont val="Calibri"/>
        <family val="2"/>
        <scheme val="minor"/>
      </rPr>
      <t xml:space="preserve"> negative mature TEC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</si>
</sst>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</font>
    <font>
      <b/>
      <u/>
      <sz val="11"/>
      <color rgb="FF0000FF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DE3F2E"/>
      </patternFill>
    </fill>
    <fill>
      <patternFill patternType="solid">
        <fgColor rgb="FFFDBE70"/>
      </patternFill>
    </fill>
    <fill>
      <patternFill patternType="solid">
        <fgColor rgb="FF6BA2CB"/>
      </patternFill>
    </fill>
    <fill>
      <patternFill patternType="solid">
        <fgColor rgb="FFF0F9D8"/>
      </patternFill>
    </fill>
    <fill>
      <patternFill patternType="solid">
        <fgColor rgb="FFFA9C58"/>
      </patternFill>
    </fill>
    <fill>
      <patternFill patternType="solid">
        <fgColor rgb="FFCE2826"/>
      </patternFill>
    </fill>
    <fill>
      <patternFill patternType="solid">
        <fgColor rgb="FF4A7BB7"/>
      </patternFill>
    </fill>
    <fill>
      <patternFill patternType="solid">
        <fgColor rgb="FFF67B49"/>
      </patternFill>
    </fill>
    <fill>
      <patternFill patternType="solid">
        <fgColor rgb="FFFEE597"/>
      </patternFill>
    </fill>
    <fill>
      <patternFill patternType="solid">
        <fgColor rgb="FF74ADD1"/>
      </patternFill>
    </fill>
    <fill>
      <patternFill patternType="solid">
        <fgColor rgb="FF5082BB"/>
      </patternFill>
    </fill>
    <fill>
      <patternFill patternType="solid">
        <fgColor rgb="FF598CC0"/>
      </patternFill>
    </fill>
    <fill>
      <patternFill patternType="solid">
        <fgColor rgb="FFEDF8DE"/>
      </patternFill>
    </fill>
    <fill>
      <patternFill patternType="solid">
        <fgColor rgb="FFEA5839"/>
      </patternFill>
    </fill>
    <fill>
      <patternFill patternType="solid">
        <fgColor rgb="FFE5F5EE"/>
      </patternFill>
    </fill>
    <fill>
      <patternFill patternType="solid">
        <fgColor rgb="FFD2ECF4"/>
      </patternFill>
    </fill>
    <fill>
      <patternFill patternType="solid">
        <fgColor rgb="FFFEEDA4"/>
      </patternFill>
    </fill>
    <fill>
      <patternFill patternType="solid">
        <fgColor rgb="FF4474B3"/>
      </patternFill>
    </fill>
    <fill>
      <patternFill patternType="solid">
        <fgColor rgb="FF649AC7"/>
      </patternFill>
    </fill>
    <fill>
      <patternFill patternType="solid">
        <fgColor rgb="FFFFFFBF"/>
      </patternFill>
    </fill>
    <fill>
      <patternFill patternType="solid">
        <fgColor rgb="FF8FC3DD"/>
      </patternFill>
    </fill>
    <fill>
      <patternFill patternType="solid">
        <fgColor rgb="FFF36C43"/>
      </patternFill>
    </fill>
    <fill>
      <patternFill patternType="solid">
        <fgColor rgb="FFFEDF90"/>
      </patternFill>
    </fill>
    <fill>
      <patternFill patternType="solid">
        <fgColor rgb="FF313695"/>
      </patternFill>
    </fill>
    <fill>
      <patternFill patternType="solid">
        <fgColor rgb="FFFBA45C"/>
      </patternFill>
    </fill>
    <fill>
      <patternFill patternType="solid">
        <fgColor rgb="FFE34A33"/>
      </patternFill>
    </fill>
    <fill>
      <patternFill patternType="solid">
        <fgColor rgb="FFFCAD60"/>
      </patternFill>
    </fill>
    <fill>
      <patternFill patternType="solid">
        <fgColor rgb="FF436FB1"/>
      </patternFill>
    </fill>
    <fill>
      <patternFill patternType="solid">
        <fgColor rgb="FFFEF0A9"/>
      </patternFill>
    </fill>
    <fill>
      <patternFill patternType="solid">
        <fgColor rgb="FFAAD8E8"/>
      </patternFill>
    </fill>
    <fill>
      <patternFill patternType="solid">
        <fgColor rgb="FFFDD384"/>
      </patternFill>
    </fill>
    <fill>
      <patternFill patternType="solid">
        <fgColor rgb="FFEE613D"/>
      </patternFill>
    </fill>
    <fill>
      <patternFill patternType="solid">
        <fgColor rgb="FFFDCD7E"/>
      </patternFill>
    </fill>
    <fill>
      <patternFill patternType="solid">
        <fgColor rgb="FFA3D2E5"/>
      </patternFill>
    </fill>
    <fill>
      <patternFill patternType="solid">
        <fgColor rgb="FF80B6D6"/>
      </patternFill>
    </fill>
    <fill>
      <patternFill patternType="solid">
        <fgColor rgb="FF416AAE"/>
      </patternFill>
    </fill>
    <fill>
      <patternFill patternType="solid">
        <fgColor rgb="FFDA362A"/>
      </patternFill>
    </fill>
    <fill>
      <patternFill patternType="solid">
        <fgColor rgb="FFBCE1EE"/>
      </patternFill>
    </fill>
    <fill>
      <patternFill patternType="solid">
        <fgColor rgb="FFFEE89D"/>
      </patternFill>
    </fill>
    <fill>
      <patternFill patternType="solid">
        <fgColor rgb="FFA50026"/>
      </patternFill>
    </fill>
    <fill>
      <patternFill patternType="solid">
        <fgColor rgb="FFCCE9F2"/>
      </patternFill>
    </fill>
    <fill>
      <patternFill patternType="solid">
        <fgColor rgb="FFF88D52"/>
      </patternFill>
    </fill>
    <fill>
      <patternFill patternType="solid">
        <fgColor rgb="FFD73027"/>
      </patternFill>
    </fill>
    <fill>
      <patternFill patternType="solid">
        <fgColor rgb="FFE8F6E7"/>
      </patternFill>
    </fill>
    <fill>
      <patternFill patternType="solid">
        <fgColor rgb="FFE0F3F7"/>
      </patternFill>
    </fill>
    <fill>
      <patternFill patternType="solid">
        <fgColor rgb="FFD22B26"/>
      </patternFill>
    </fill>
    <fill>
      <patternFill patternType="solid">
        <fgColor rgb="FF9CCDE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NumberFormat="1" applyFont="1"/>
    <xf numFmtId="0" fontId="0" fillId="2" borderId="0" xfId="0" applyNumberFormat="1" applyFill="1"/>
    <xf numFmtId="0" fontId="0" fillId="3" borderId="0" xfId="0" applyNumberFormat="1" applyFill="1"/>
    <xf numFmtId="0" fontId="0" fillId="4" borderId="0" xfId="0" applyNumberFormat="1" applyFill="1"/>
    <xf numFmtId="0" fontId="0" fillId="5" borderId="0" xfId="0" applyNumberFormat="1" applyFill="1"/>
    <xf numFmtId="0" fontId="0" fillId="6" borderId="0" xfId="0" applyNumberFormat="1" applyFill="1"/>
    <xf numFmtId="0" fontId="0" fillId="7" borderId="0" xfId="0" applyNumberFormat="1" applyFill="1"/>
    <xf numFmtId="0" fontId="0" fillId="8" borderId="0" xfId="0" applyNumberFormat="1" applyFill="1"/>
    <xf numFmtId="0" fontId="0" fillId="9" borderId="0" xfId="0" applyNumberFormat="1" applyFill="1"/>
    <xf numFmtId="0" fontId="0" fillId="10" borderId="0" xfId="0" applyNumberFormat="1" applyFill="1"/>
    <xf numFmtId="0" fontId="2" fillId="0" borderId="0" xfId="0" applyNumberFormat="1" applyFont="1"/>
    <xf numFmtId="0" fontId="0" fillId="11" borderId="0" xfId="0" applyNumberFormat="1" applyFill="1"/>
    <xf numFmtId="0" fontId="0" fillId="12" borderId="0" xfId="0" applyNumberFormat="1" applyFill="1"/>
    <xf numFmtId="0" fontId="0" fillId="13" borderId="0" xfId="0" applyNumberFormat="1" applyFill="1"/>
    <xf numFmtId="0" fontId="0" fillId="14" borderId="0" xfId="0" applyNumberFormat="1" applyFill="1"/>
    <xf numFmtId="0" fontId="0" fillId="15" borderId="0" xfId="0" applyNumberFormat="1" applyFill="1"/>
    <xf numFmtId="0" fontId="0" fillId="16" borderId="0" xfId="0" applyNumberFormat="1" applyFill="1"/>
    <xf numFmtId="0" fontId="0" fillId="17" borderId="0" xfId="0" applyNumberFormat="1" applyFill="1"/>
    <xf numFmtId="0" fontId="0" fillId="18" borderId="0" xfId="0" applyNumberFormat="1" applyFill="1"/>
    <xf numFmtId="0" fontId="0" fillId="19" borderId="0" xfId="0" applyNumberFormat="1" applyFill="1"/>
    <xf numFmtId="0" fontId="0" fillId="20" borderId="0" xfId="0" applyNumberFormat="1" applyFill="1"/>
    <xf numFmtId="0" fontId="0" fillId="21" borderId="0" xfId="0" applyNumberFormat="1" applyFill="1"/>
    <xf numFmtId="0" fontId="0" fillId="22" borderId="0" xfId="0" applyNumberFormat="1" applyFill="1"/>
    <xf numFmtId="0" fontId="0" fillId="23" borderId="0" xfId="0" applyNumberFormat="1" applyFill="1"/>
    <xf numFmtId="0" fontId="0" fillId="24" borderId="0" xfId="0" applyNumberFormat="1" applyFill="1"/>
    <xf numFmtId="0" fontId="0" fillId="25" borderId="0" xfId="0" applyNumberFormat="1" applyFill="1"/>
    <xf numFmtId="0" fontId="0" fillId="26" borderId="0" xfId="0" applyNumberFormat="1" applyFill="1"/>
    <xf numFmtId="0" fontId="0" fillId="27" borderId="0" xfId="0" applyNumberFormat="1" applyFill="1"/>
    <xf numFmtId="0" fontId="0" fillId="28" borderId="0" xfId="0" applyNumberFormat="1" applyFill="1"/>
    <xf numFmtId="0" fontId="0" fillId="29" borderId="0" xfId="0" applyNumberFormat="1" applyFill="1"/>
    <xf numFmtId="0" fontId="0" fillId="30" borderId="0" xfId="0" applyNumberFormat="1" applyFill="1"/>
    <xf numFmtId="0" fontId="0" fillId="31" borderId="0" xfId="0" applyNumberFormat="1" applyFill="1"/>
    <xf numFmtId="0" fontId="0" fillId="32" borderId="0" xfId="0" applyNumberFormat="1" applyFill="1"/>
    <xf numFmtId="0" fontId="0" fillId="33" borderId="0" xfId="0" applyNumberFormat="1" applyFill="1"/>
    <xf numFmtId="0" fontId="0" fillId="34" borderId="0" xfId="0" applyNumberFormat="1" applyFill="1"/>
    <xf numFmtId="0" fontId="0" fillId="35" borderId="0" xfId="0" applyNumberFormat="1" applyFill="1"/>
    <xf numFmtId="0" fontId="0" fillId="36" borderId="0" xfId="0" applyNumberFormat="1" applyFill="1"/>
    <xf numFmtId="0" fontId="0" fillId="37" borderId="0" xfId="0" applyNumberFormat="1" applyFill="1"/>
    <xf numFmtId="0" fontId="0" fillId="38" borderId="0" xfId="0" applyNumberFormat="1" applyFill="1"/>
    <xf numFmtId="0" fontId="3" fillId="0" borderId="0" xfId="0" applyNumberFormat="1" applyFont="1"/>
    <xf numFmtId="0" fontId="0" fillId="39" borderId="0" xfId="0" applyNumberFormat="1" applyFill="1"/>
    <xf numFmtId="0" fontId="0" fillId="40" borderId="0" xfId="0" applyNumberFormat="1" applyFill="1"/>
    <xf numFmtId="0" fontId="0" fillId="41" borderId="0" xfId="0" applyNumberFormat="1" applyFill="1"/>
    <xf numFmtId="0" fontId="0" fillId="42" borderId="0" xfId="0" applyNumberFormat="1" applyFill="1"/>
    <xf numFmtId="0" fontId="0" fillId="43" borderId="0" xfId="0" applyNumberFormat="1" applyFill="1"/>
    <xf numFmtId="0" fontId="0" fillId="44" borderId="0" xfId="0" applyNumberFormat="1" applyFill="1"/>
    <xf numFmtId="0" fontId="0" fillId="45" borderId="0" xfId="0" applyNumberFormat="1" applyFill="1"/>
    <xf numFmtId="0" fontId="0" fillId="46" borderId="0" xfId="0" applyNumberFormat="1" applyFill="1"/>
    <xf numFmtId="0" fontId="0" fillId="47" borderId="0" xfId="0" applyNumberFormat="1" applyFill="1"/>
    <xf numFmtId="0" fontId="0" fillId="48" borderId="0" xfId="0" applyNumberFormat="1" applyFill="1"/>
    <xf numFmtId="0" fontId="4" fillId="0" borderId="0" xfId="0" applyFont="1"/>
    <xf numFmtId="0" fontId="0" fillId="0" borderId="0" xfId="0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NumberFormat="1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calcChain" Target="calcChain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theme" Target="theme/theme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tabSelected="1" workbookViewId="0"/>
  </sheetViews>
  <sheetFormatPr defaultRowHeight="15" x14ac:dyDescent="0.25"/>
  <cols>
    <col min="1" max="1" width="10.5703125" bestFit="1" customWidth="1"/>
    <col min="2" max="2" width="31.7109375" customWidth="1"/>
    <col min="3" max="3" width="11" customWidth="1"/>
    <col min="4" max="4" width="15.7109375" bestFit="1" customWidth="1"/>
    <col min="5" max="5" width="9.42578125" customWidth="1"/>
    <col min="7" max="7" width="15.7109375" bestFit="1" customWidth="1"/>
    <col min="8" max="8" width="9.7109375" customWidth="1"/>
    <col min="9" max="9" width="9.85546875" bestFit="1" customWidth="1"/>
    <col min="10" max="10" width="15.7109375" bestFit="1" customWidth="1"/>
    <col min="11" max="11" width="18.140625" customWidth="1"/>
    <col min="12" max="12" width="8" style="52" customWidth="1"/>
  </cols>
  <sheetData>
    <row r="1" spans="1:12" x14ac:dyDescent="0.25">
      <c r="A1" s="51" t="s">
        <v>2212</v>
      </c>
    </row>
    <row r="3" spans="1:12" x14ac:dyDescent="0.25">
      <c r="A3" s="56" t="s">
        <v>2205</v>
      </c>
      <c r="B3" s="56" t="s">
        <v>2206</v>
      </c>
      <c r="C3" s="55" t="s">
        <v>2214</v>
      </c>
      <c r="D3" s="55"/>
      <c r="E3" s="55"/>
      <c r="F3" s="55" t="s">
        <v>2211</v>
      </c>
      <c r="G3" s="55"/>
      <c r="H3" s="55"/>
      <c r="I3" s="55" t="s">
        <v>2215</v>
      </c>
      <c r="J3" s="55"/>
      <c r="K3" s="55"/>
    </row>
    <row r="4" spans="1:12" x14ac:dyDescent="0.25">
      <c r="A4" s="57"/>
      <c r="B4" s="57"/>
      <c r="C4" s="54" t="s">
        <v>2209</v>
      </c>
      <c r="D4" s="54" t="s">
        <v>2210</v>
      </c>
      <c r="E4" s="54" t="s">
        <v>2207</v>
      </c>
      <c r="F4" s="54" t="s">
        <v>2209</v>
      </c>
      <c r="G4" s="54" t="s">
        <v>2210</v>
      </c>
      <c r="H4" s="54" t="s">
        <v>2207</v>
      </c>
      <c r="I4" s="54" t="s">
        <v>2209</v>
      </c>
      <c r="J4" s="54" t="s">
        <v>2210</v>
      </c>
      <c r="K4" s="54" t="s">
        <v>2207</v>
      </c>
      <c r="L4" s="53" t="s">
        <v>2208</v>
      </c>
    </row>
    <row r="5" spans="1:12" x14ac:dyDescent="0.25">
      <c r="A5" s="1" t="str">
        <f ca="1">HYPERLINK("[" &amp; SUBSTITUTE(LEFT(CELL("filename"),FIND("]",CELL("filename"))),"[","") &amp; "mmu00280!A1","mmu00280")</f>
        <v>mmu00280</v>
      </c>
      <c r="B5" s="1" t="str">
        <f ca="1">HYPERLINK("[" &amp; SUBSTITUTE(LEFT(CELL("filename"),FIND("]",CELL("filename"))),"[","") &amp; "mmu00280!A1","Valine, leucine and isoleucine degradation - Mus musculus (mouse)")</f>
        <v>Valine, leucine and isoleucine degradation - Mus musculus (mouse)</v>
      </c>
      <c r="C5">
        <v>22</v>
      </c>
      <c r="D5">
        <v>2.69</v>
      </c>
      <c r="E5">
        <v>6.0999999999999999E-5</v>
      </c>
      <c r="F5">
        <v>21</v>
      </c>
      <c r="G5">
        <v>3.89</v>
      </c>
      <c r="H5">
        <v>9.9999999999999995E-7</v>
      </c>
      <c r="I5">
        <v>12</v>
      </c>
      <c r="J5">
        <v>1.94</v>
      </c>
      <c r="K5">
        <v>4.6100000000000002E-2</v>
      </c>
      <c r="L5" s="52">
        <v>3</v>
      </c>
    </row>
    <row r="6" spans="1:12" x14ac:dyDescent="0.25">
      <c r="A6" s="1" t="str">
        <f ca="1">HYPERLINK("[" &amp; SUBSTITUTE(LEFT(CELL("filename"),FIND("]",CELL("filename"))),"[","") &amp; "mmu05330!A1","mmu05330")</f>
        <v>mmu05330</v>
      </c>
      <c r="B6" s="1" t="str">
        <f ca="1">HYPERLINK("[" &amp; SUBSTITUTE(LEFT(CELL("filename"),FIND("]",CELL("filename"))),"[","") &amp; "mmu05330!A1","Allograft rejection - Mus musculus (mouse)")</f>
        <v>Allograft rejection - Mus musculus (mouse)</v>
      </c>
      <c r="C6">
        <v>24</v>
      </c>
      <c r="D6">
        <v>2.94</v>
      </c>
      <c r="E6">
        <v>5.0000000000000004E-6</v>
      </c>
      <c r="F6">
        <v>13</v>
      </c>
      <c r="G6">
        <v>2.41</v>
      </c>
      <c r="H6">
        <v>1.7999999999999999E-2</v>
      </c>
      <c r="I6">
        <v>18</v>
      </c>
      <c r="J6">
        <v>2.92</v>
      </c>
      <c r="K6">
        <v>1.7200000000000001E-4</v>
      </c>
      <c r="L6" s="52">
        <v>3</v>
      </c>
    </row>
    <row r="7" spans="1:12" x14ac:dyDescent="0.25">
      <c r="A7" s="1" t="str">
        <f ca="1">HYPERLINK("[" &amp; SUBSTITUTE(LEFT(CELL("filename"),FIND("]",CELL("filename"))),"[","") &amp; "mmu04612!A1","mmu04612")</f>
        <v>mmu04612</v>
      </c>
      <c r="B7" s="1" t="str">
        <f ca="1">HYPERLINK("[" &amp; SUBSTITUTE(LEFT(CELL("filename"),FIND("]",CELL("filename"))),"[","") &amp; "mmu04612!A1","Antigen processing and presentation - Mus musculus (mouse)")</f>
        <v>Antigen processing and presentation - Mus musculus (mouse)</v>
      </c>
      <c r="C7">
        <v>35</v>
      </c>
      <c r="D7">
        <v>2.84</v>
      </c>
      <c r="E7">
        <v>0</v>
      </c>
      <c r="F7">
        <v>23</v>
      </c>
      <c r="G7">
        <v>2.82</v>
      </c>
      <c r="H7">
        <v>1.25E-4</v>
      </c>
      <c r="I7">
        <v>23</v>
      </c>
      <c r="J7">
        <v>2.4700000000000002</v>
      </c>
      <c r="K7">
        <v>2.33E-4</v>
      </c>
      <c r="L7" s="52">
        <v>3</v>
      </c>
    </row>
    <row r="8" spans="1:12" x14ac:dyDescent="0.25">
      <c r="A8" s="1" t="str">
        <f ca="1">HYPERLINK("[" &amp; SUBSTITUTE(LEFT(CELL("filename"),FIND("]",CELL("filename"))),"[","") &amp; "mmu04666!A1","mmu04666")</f>
        <v>mmu04666</v>
      </c>
      <c r="B8" s="1" t="str">
        <f ca="1">HYPERLINK("[" &amp; SUBSTITUTE(LEFT(CELL("filename"),FIND("]",CELL("filename"))),"[","") &amp; "mmu04666!A1","Fc gamma R-mediated phagocytosis - Mus musculus (mouse)")</f>
        <v>Fc gamma R-mediated phagocytosis - Mus musculus (mouse)</v>
      </c>
      <c r="C8">
        <v>31</v>
      </c>
      <c r="D8">
        <v>2.13</v>
      </c>
      <c r="E8">
        <v>1.7899999999999999E-4</v>
      </c>
      <c r="F8">
        <v>23</v>
      </c>
      <c r="G8">
        <v>2.39</v>
      </c>
      <c r="H8">
        <v>1.6100000000000001E-3</v>
      </c>
      <c r="I8">
        <v>28</v>
      </c>
      <c r="J8">
        <v>2.54</v>
      </c>
      <c r="K8">
        <v>2.5000000000000001E-5</v>
      </c>
      <c r="L8" s="52">
        <v>3</v>
      </c>
    </row>
    <row r="9" spans="1:12" x14ac:dyDescent="0.25">
      <c r="A9" s="1" t="str">
        <f ca="1">HYPERLINK("[" &amp; SUBSTITUTE(LEFT(CELL("filename"),FIND("]",CELL("filename"))),"[","") &amp; "mmu05332!A1","mmu05332")</f>
        <v>mmu05332</v>
      </c>
      <c r="B9" s="1" t="str">
        <f ca="1">HYPERLINK("[" &amp; SUBSTITUTE(LEFT(CELL("filename"),FIND("]",CELL("filename"))),"[","") &amp; "mmu05332!A1","Graft-versus-host disease - Mus musculus (mouse)")</f>
        <v>Graft-versus-host disease - Mus musculus (mouse)</v>
      </c>
      <c r="C9">
        <v>21</v>
      </c>
      <c r="D9">
        <v>2.4700000000000002</v>
      </c>
      <c r="E9">
        <v>2.9999999999999997E-4</v>
      </c>
      <c r="F9">
        <v>12</v>
      </c>
      <c r="G9">
        <v>2.14</v>
      </c>
      <c r="H9">
        <v>5.33E-2</v>
      </c>
      <c r="I9">
        <v>14</v>
      </c>
      <c r="J9">
        <v>2.1800000000000002</v>
      </c>
      <c r="K9">
        <v>1.34E-2</v>
      </c>
      <c r="L9" s="52">
        <v>3</v>
      </c>
    </row>
    <row r="10" spans="1:12" x14ac:dyDescent="0.25">
      <c r="A10" s="1" t="str">
        <f ca="1">HYPERLINK("[" &amp; SUBSTITUTE(LEFT(CELL("filename"),FIND("]",CELL("filename"))),"[","") &amp; "mmu04662!A1","mmu04662")</f>
        <v>mmu04662</v>
      </c>
      <c r="B10" s="1" t="str">
        <f ca="1">HYPERLINK("[" &amp; SUBSTITUTE(LEFT(CELL("filename"),FIND("]",CELL("filename"))),"[","") &amp; "mmu04662!A1","B cell receptor signaling pathway - Mus musculus (mouse)")</f>
        <v>B cell receptor signaling pathway - Mus musculus (mouse)</v>
      </c>
      <c r="C10">
        <v>25</v>
      </c>
      <c r="D10">
        <v>2.0299999999999998</v>
      </c>
      <c r="E10">
        <v>1.5299999999999999E-3</v>
      </c>
      <c r="F10">
        <v>18</v>
      </c>
      <c r="G10">
        <v>2.21</v>
      </c>
      <c r="H10">
        <v>1.04E-2</v>
      </c>
      <c r="I10">
        <v>23</v>
      </c>
      <c r="J10">
        <v>2.4700000000000002</v>
      </c>
      <c r="K10">
        <v>2.33E-4</v>
      </c>
      <c r="L10" s="52">
        <v>3</v>
      </c>
    </row>
    <row r="11" spans="1:12" x14ac:dyDescent="0.25">
      <c r="A11" s="1" t="str">
        <f ca="1">HYPERLINK("[" &amp; SUBSTITUTE(LEFT(CELL("filename"),FIND("]",CELL("filename"))),"[","") &amp; "mmu04940!A1","mmu04940")</f>
        <v>mmu04940</v>
      </c>
      <c r="B11" s="1" t="str">
        <f ca="1">HYPERLINK("[" &amp; SUBSTITUTE(LEFT(CELL("filename"),FIND("]",CELL("filename"))),"[","") &amp; "mmu04940!A1","Type I diabetes mellitus - Mus musculus (mouse)")</f>
        <v>Type I diabetes mellitus - Mus musculus (mouse)</v>
      </c>
      <c r="C11">
        <v>22</v>
      </c>
      <c r="D11">
        <v>2.37</v>
      </c>
      <c r="E11">
        <v>3.8400000000000001E-4</v>
      </c>
      <c r="F11">
        <v>13</v>
      </c>
      <c r="G11">
        <v>2.12</v>
      </c>
      <c r="H11">
        <v>4.65E-2</v>
      </c>
      <c r="I11">
        <v>15</v>
      </c>
      <c r="J11">
        <v>2.14</v>
      </c>
      <c r="K11">
        <v>1.24E-2</v>
      </c>
      <c r="L11" s="52">
        <v>3</v>
      </c>
    </row>
    <row r="12" spans="1:12" x14ac:dyDescent="0.25">
      <c r="A12" s="1" t="str">
        <f ca="1">HYPERLINK("[" &amp; SUBSTITUTE(LEFT(CELL("filename"),FIND("]",CELL("filename"))),"[","") &amp; "mmu04514!A1","mmu04514")</f>
        <v>mmu04514</v>
      </c>
      <c r="B12" s="1" t="str">
        <f ca="1">HYPERLINK("[" &amp; SUBSTITUTE(LEFT(CELL("filename"),FIND("]",CELL("filename"))),"[","") &amp; "mmu04514!A1","Cell adhesion molecules (CAMs) - Mus musculus (mouse)")</f>
        <v>Cell adhesion molecules (CAMs) - Mus musculus (mouse)</v>
      </c>
      <c r="C12">
        <v>55</v>
      </c>
      <c r="D12">
        <v>2.2000000000000002</v>
      </c>
      <c r="E12">
        <v>0</v>
      </c>
      <c r="F12">
        <v>39</v>
      </c>
      <c r="G12">
        <v>2.36</v>
      </c>
      <c r="H12">
        <v>1.1E-5</v>
      </c>
      <c r="I12">
        <v>38</v>
      </c>
      <c r="J12">
        <v>2.0099999999999998</v>
      </c>
      <c r="K12">
        <v>1.7100000000000001E-4</v>
      </c>
      <c r="L12" s="52">
        <v>3</v>
      </c>
    </row>
    <row r="13" spans="1:12" x14ac:dyDescent="0.25">
      <c r="A13" s="1" t="str">
        <f ca="1">HYPERLINK("[" &amp; SUBSTITUTE(LEFT(CELL("filename"),FIND("]",CELL("filename"))),"[","") &amp; "mmu04670!A1","mmu04670")</f>
        <v>mmu04670</v>
      </c>
      <c r="B13" s="1" t="str">
        <f ca="1">HYPERLINK("[" &amp; SUBSTITUTE(LEFT(CELL("filename"),FIND("]",CELL("filename"))),"[","") &amp; "mmu04670!A1","Leukocyte transendothelial migration - Mus musculus (mouse)")</f>
        <v>Leukocyte transendothelial migration - Mus musculus (mouse)</v>
      </c>
      <c r="C13">
        <v>39</v>
      </c>
      <c r="D13">
        <v>2.0299999999999998</v>
      </c>
      <c r="E13">
        <v>7.4999999999999993E-5</v>
      </c>
      <c r="F13">
        <v>27</v>
      </c>
      <c r="G13">
        <v>2.13</v>
      </c>
      <c r="H13">
        <v>2.7599999999999999E-3</v>
      </c>
      <c r="I13">
        <v>34</v>
      </c>
      <c r="J13">
        <v>2.34</v>
      </c>
      <c r="K13">
        <v>2.0000000000000002E-5</v>
      </c>
      <c r="L13" s="52">
        <v>3</v>
      </c>
    </row>
    <row r="14" spans="1:12" x14ac:dyDescent="0.25">
      <c r="A14" s="1" t="str">
        <f ca="1">HYPERLINK("[" &amp; SUBSTITUTE(LEFT(CELL("filename"),FIND("]",CELL("filename"))),"[","") &amp; "mmu04664!A1","mmu04664")</f>
        <v>mmu04664</v>
      </c>
      <c r="B14" s="1" t="str">
        <f ca="1">HYPERLINK("[" &amp; SUBSTITUTE(LEFT(CELL("filename"),FIND("]",CELL("filename"))),"[","") &amp; "mmu04664!A1","Fc epsilon RI signaling pathway - Mus musculus (mouse)")</f>
        <v>Fc epsilon RI signaling pathway - Mus musculus (mouse)</v>
      </c>
      <c r="C14">
        <v>25</v>
      </c>
      <c r="D14">
        <v>2.23</v>
      </c>
      <c r="E14">
        <v>3.8400000000000001E-4</v>
      </c>
      <c r="F14">
        <v>15</v>
      </c>
      <c r="G14">
        <v>2.0299999999999998</v>
      </c>
      <c r="H14">
        <v>4.1300000000000003E-2</v>
      </c>
      <c r="I14">
        <v>19</v>
      </c>
      <c r="J14">
        <v>2.2400000000000002</v>
      </c>
      <c r="K14">
        <v>3.0899999999999999E-3</v>
      </c>
      <c r="L14" s="52">
        <v>3</v>
      </c>
    </row>
    <row r="15" spans="1:12" x14ac:dyDescent="0.25">
      <c r="A15" s="1" t="str">
        <f ca="1">HYPERLINK("[" &amp; SUBSTITUTE(LEFT(CELL("filename"),FIND("]",CELL("filename"))),"[","") &amp; "mmu00260!A1","mmu00260")</f>
        <v>mmu00260</v>
      </c>
      <c r="B15" s="1" t="str">
        <f ca="1">HYPERLINK("[" &amp; SUBSTITUTE(LEFT(CELL("filename"),FIND("]",CELL("filename"))),"[","") &amp; "mmu00260!A1","Glycine, serine and threonine metabolism - Mus musculus (mouse)")</f>
        <v>Glycine, serine and threonine metabolism - Mus musculus (mouse)</v>
      </c>
      <c r="C15">
        <v>12</v>
      </c>
      <c r="D15">
        <v>1.92</v>
      </c>
      <c r="E15">
        <v>4.8599999999999997E-2</v>
      </c>
      <c r="F15">
        <v>11</v>
      </c>
      <c r="G15">
        <v>2.67</v>
      </c>
      <c r="H15">
        <v>1.7999999999999999E-2</v>
      </c>
      <c r="I15">
        <v>9</v>
      </c>
      <c r="J15">
        <v>1.91</v>
      </c>
      <c r="K15">
        <v>8.6699999999999999E-2</v>
      </c>
      <c r="L15" s="52">
        <v>3</v>
      </c>
    </row>
    <row r="16" spans="1:12" x14ac:dyDescent="0.25">
      <c r="A16" s="1" t="str">
        <f ca="1">HYPERLINK("[" &amp; SUBSTITUTE(LEFT(CELL("filename"),FIND("]",CELL("filename"))),"[","") &amp; "mmu00380!A1","mmu00380")</f>
        <v>mmu00380</v>
      </c>
      <c r="B16" s="1" t="str">
        <f ca="1">HYPERLINK("[" &amp; SUBSTITUTE(LEFT(CELL("filename"),FIND("]",CELL("filename"))),"[","") &amp; "mmu00380!A1","Tryptophan metabolism - Mus musculus (mouse)")</f>
        <v>Tryptophan metabolism - Mus musculus (mouse)</v>
      </c>
      <c r="C16">
        <v>13</v>
      </c>
      <c r="D16">
        <v>1.89</v>
      </c>
      <c r="E16">
        <v>4.4999999999999998E-2</v>
      </c>
      <c r="F16">
        <v>10</v>
      </c>
      <c r="G16">
        <v>2.2000000000000002</v>
      </c>
      <c r="H16">
        <v>7.1099999999999997E-2</v>
      </c>
      <c r="I16">
        <v>12</v>
      </c>
      <c r="J16">
        <v>2.31</v>
      </c>
      <c r="K16">
        <v>1.49E-2</v>
      </c>
      <c r="L16" s="52">
        <v>3</v>
      </c>
    </row>
    <row r="17" spans="1:12" x14ac:dyDescent="0.25">
      <c r="A17" s="1" t="str">
        <f ca="1">HYPERLINK("[" &amp; SUBSTITUTE(LEFT(CELL("filename"),FIND("]",CELL("filename"))),"[","") &amp; "mmu05416!A1","mmu05416")</f>
        <v>mmu05416</v>
      </c>
      <c r="B17" s="1" t="str">
        <f ca="1">HYPERLINK("[" &amp; SUBSTITUTE(LEFT(CELL("filename"),FIND("]",CELL("filename"))),"[","") &amp; "mmu05416!A1","Viral myocarditis - Mus musculus (mouse)")</f>
        <v>Viral myocarditis - Mus musculus (mouse)</v>
      </c>
      <c r="C17">
        <v>31</v>
      </c>
      <c r="D17">
        <v>2.2200000000000002</v>
      </c>
      <c r="E17">
        <v>7.4999999999999993E-5</v>
      </c>
      <c r="F17">
        <v>18</v>
      </c>
      <c r="G17">
        <v>1.96</v>
      </c>
      <c r="H17">
        <v>2.9600000000000001E-2</v>
      </c>
      <c r="I17">
        <v>22</v>
      </c>
      <c r="J17">
        <v>2.09</v>
      </c>
      <c r="K17">
        <v>3.2200000000000002E-3</v>
      </c>
      <c r="L17" s="52">
        <v>3</v>
      </c>
    </row>
    <row r="18" spans="1:12" x14ac:dyDescent="0.25">
      <c r="A18" s="1" t="str">
        <f ca="1">HYPERLINK("[" &amp; SUBSTITUTE(LEFT(CELL("filename"),FIND("]",CELL("filename"))),"[","") &amp; "mmu04070!A1","mmu04070")</f>
        <v>mmu04070</v>
      </c>
      <c r="B18" s="1" t="str">
        <f ca="1">HYPERLINK("[" &amp; SUBSTITUTE(LEFT(CELL("filename"),FIND("]",CELL("filename"))),"[","") &amp; "mmu04070!A1","Phosphatidylinositol signaling system - Mus musculus (mouse)")</f>
        <v>Phosphatidylinositol signaling system - Mus musculus (mouse)</v>
      </c>
      <c r="C18">
        <v>23</v>
      </c>
      <c r="D18">
        <v>1.79</v>
      </c>
      <c r="E18">
        <v>1.15E-2</v>
      </c>
      <c r="F18">
        <v>20</v>
      </c>
      <c r="G18">
        <v>2.36</v>
      </c>
      <c r="H18">
        <v>3.8500000000000001E-3</v>
      </c>
      <c r="I18">
        <v>20</v>
      </c>
      <c r="J18">
        <v>2.0699999999999998</v>
      </c>
      <c r="K18">
        <v>5.4299999999999999E-3</v>
      </c>
      <c r="L18" s="52">
        <v>3</v>
      </c>
    </row>
    <row r="19" spans="1:12" x14ac:dyDescent="0.25">
      <c r="A19" s="1" t="str">
        <f ca="1">HYPERLINK("[" &amp; SUBSTITUTE(LEFT(CELL("filename"),FIND("]",CELL("filename"))),"[","") &amp; "mmu05320!A1","mmu05320")</f>
        <v>mmu05320</v>
      </c>
      <c r="B19" s="1" t="str">
        <f ca="1">HYPERLINK("[" &amp; SUBSTITUTE(LEFT(CELL("filename"),FIND("]",CELL("filename"))),"[","") &amp; "mmu05320!A1","Autoimmune thyroid disease - Mus musculus (mouse)")</f>
        <v>Autoimmune thyroid disease - Mus musculus (mouse)</v>
      </c>
      <c r="C19">
        <v>23</v>
      </c>
      <c r="D19">
        <v>2.17</v>
      </c>
      <c r="E19">
        <v>9.4899999999999997E-4</v>
      </c>
      <c r="F19">
        <v>13</v>
      </c>
      <c r="G19">
        <v>1.86</v>
      </c>
      <c r="H19">
        <v>8.9700000000000002E-2</v>
      </c>
      <c r="I19">
        <v>17</v>
      </c>
      <c r="J19">
        <v>2.13</v>
      </c>
      <c r="K19">
        <v>7.9299999999999995E-3</v>
      </c>
      <c r="L19" s="52">
        <v>3</v>
      </c>
    </row>
    <row r="20" spans="1:12" x14ac:dyDescent="0.25">
      <c r="A20" s="1" t="str">
        <f ca="1">HYPERLINK("[" &amp; SUBSTITUTE(LEFT(CELL("filename"),FIND("]",CELL("filename"))),"[","") &amp; "mmu04912!A1","mmu04912")</f>
        <v>mmu04912</v>
      </c>
      <c r="B20" s="1" t="str">
        <f ca="1">HYPERLINK("[" &amp; SUBSTITUTE(LEFT(CELL("filename"),FIND("]",CELL("filename"))),"[","") &amp; "mmu04912!A1","GnRH signaling pathway - Mus musculus (mouse)")</f>
        <v>GnRH signaling pathway - Mus musculus (mouse)</v>
      </c>
      <c r="C20">
        <v>28</v>
      </c>
      <c r="D20">
        <v>1.99</v>
      </c>
      <c r="E20">
        <v>1.09E-3</v>
      </c>
      <c r="F20">
        <v>16</v>
      </c>
      <c r="G20">
        <v>1.72</v>
      </c>
      <c r="H20">
        <v>9.2799999999999994E-2</v>
      </c>
      <c r="I20">
        <v>25</v>
      </c>
      <c r="J20">
        <v>2.35</v>
      </c>
      <c r="K20">
        <v>2.61E-4</v>
      </c>
      <c r="L20" s="52">
        <v>3</v>
      </c>
    </row>
    <row r="21" spans="1:12" x14ac:dyDescent="0.25">
      <c r="A21" s="1" t="str">
        <f ca="1">HYPERLINK("[" &amp; SUBSTITUTE(LEFT(CELL("filename"),FIND("]",CELL("filename"))),"[","") &amp; "mmu05133!A1","mmu05133")</f>
        <v>mmu05133</v>
      </c>
      <c r="B21" s="1" t="str">
        <f ca="1">HYPERLINK("[" &amp; SUBSTITUTE(LEFT(CELL("filename"),FIND("]",CELL("filename"))),"[","") &amp; "mmu05133!A1","Pertussis - Mus musculus (mouse)")</f>
        <v>Pertussis - Mus musculus (mouse)</v>
      </c>
      <c r="C21">
        <v>23</v>
      </c>
      <c r="D21">
        <v>1.99</v>
      </c>
      <c r="E21">
        <v>2.98E-3</v>
      </c>
      <c r="F21">
        <v>15</v>
      </c>
      <c r="G21">
        <v>1.97</v>
      </c>
      <c r="H21">
        <v>0.05</v>
      </c>
      <c r="I21">
        <v>18</v>
      </c>
      <c r="J21">
        <v>2.0699999999999998</v>
      </c>
      <c r="K21">
        <v>8.3300000000000006E-3</v>
      </c>
      <c r="L21" s="52">
        <v>3</v>
      </c>
    </row>
    <row r="22" spans="1:12" x14ac:dyDescent="0.25">
      <c r="A22" s="1" t="str">
        <f ca="1">HYPERLINK("[" &amp; SUBSTITUTE(LEFT(CELL("filename"),FIND("]",CELL("filename"))),"[","") &amp; "mmu04142!A1","mmu04142")</f>
        <v>mmu04142</v>
      </c>
      <c r="B22" s="1" t="str">
        <f ca="1">HYPERLINK("[" &amp; SUBSTITUTE(LEFT(CELL("filename"),FIND("]",CELL("filename"))),"[","") &amp; "mmu04142!A1","Lysosome - Mus musculus (mouse)")</f>
        <v>Lysosome - Mus musculus (mouse)</v>
      </c>
      <c r="C22">
        <v>36</v>
      </c>
      <c r="D22">
        <v>1.81</v>
      </c>
      <c r="E22">
        <v>1.1000000000000001E-3</v>
      </c>
      <c r="F22">
        <v>26</v>
      </c>
      <c r="G22">
        <v>1.98</v>
      </c>
      <c r="H22">
        <v>6.8199999999999997E-3</v>
      </c>
      <c r="I22">
        <v>29</v>
      </c>
      <c r="J22">
        <v>1.93</v>
      </c>
      <c r="K22">
        <v>2.2300000000000002E-3</v>
      </c>
      <c r="L22" s="52">
        <v>3</v>
      </c>
    </row>
    <row r="23" spans="1:12" x14ac:dyDescent="0.25">
      <c r="A23" s="1" t="str">
        <f ca="1">HYPERLINK("[" &amp; SUBSTITUTE(LEFT(CELL("filename"),FIND("]",CELL("filename"))),"[","") &amp; "mmu04660!A1","mmu04660")</f>
        <v>mmu04660</v>
      </c>
      <c r="B23" s="1" t="str">
        <f ca="1">HYPERLINK("[" &amp; SUBSTITUTE(LEFT(CELL("filename"),FIND("]",CELL("filename"))),"[","") &amp; "mmu04660!A1","T cell receptor signaling pathway - Mus musculus (mouse)")</f>
        <v>T cell receptor signaling pathway - Mus musculus (mouse)</v>
      </c>
      <c r="C23">
        <v>34</v>
      </c>
      <c r="D23">
        <v>1.93</v>
      </c>
      <c r="E23">
        <v>5.3300000000000005E-4</v>
      </c>
      <c r="F23">
        <v>22</v>
      </c>
      <c r="G23">
        <v>1.89</v>
      </c>
      <c r="H23">
        <v>2.0299999999999999E-2</v>
      </c>
      <c r="I23">
        <v>25</v>
      </c>
      <c r="J23">
        <v>1.88</v>
      </c>
      <c r="K23">
        <v>5.9500000000000004E-3</v>
      </c>
      <c r="L23" s="52">
        <v>3</v>
      </c>
    </row>
    <row r="24" spans="1:12" x14ac:dyDescent="0.25">
      <c r="A24" s="1" t="str">
        <f ca="1">HYPERLINK("[" &amp; SUBSTITUTE(LEFT(CELL("filename"),FIND("]",CELL("filename"))),"[","") &amp; "mmu04971!A1","mmu04971")</f>
        <v>mmu04971</v>
      </c>
      <c r="B24" s="1" t="str">
        <f ca="1">HYPERLINK("[" &amp; SUBSTITUTE(LEFT(CELL("filename"),FIND("]",CELL("filename"))),"[","") &amp; "mmu04971!A1","Gastric acid secretion - Mus musculus (mouse)")</f>
        <v>Gastric acid secretion - Mus musculus (mouse)</v>
      </c>
      <c r="C24">
        <v>18</v>
      </c>
      <c r="D24">
        <v>1.54</v>
      </c>
      <c r="E24">
        <v>8.7599999999999997E-2</v>
      </c>
      <c r="F24">
        <v>18</v>
      </c>
      <c r="G24">
        <v>2.33</v>
      </c>
      <c r="H24">
        <v>6.8199999999999997E-3</v>
      </c>
      <c r="I24">
        <v>16</v>
      </c>
      <c r="J24">
        <v>1.81</v>
      </c>
      <c r="K24">
        <v>3.7900000000000003E-2</v>
      </c>
      <c r="L24" s="52">
        <v>3</v>
      </c>
    </row>
    <row r="25" spans="1:12" x14ac:dyDescent="0.25">
      <c r="A25" s="1" t="str">
        <f ca="1">HYPERLINK("[" &amp; SUBSTITUTE(LEFT(CELL("filename"),FIND("]",CELL("filename"))),"[","") &amp; "mmu04370!A1","mmu04370")</f>
        <v>mmu04370</v>
      </c>
      <c r="B25" s="1" t="str">
        <f ca="1">HYPERLINK("[" &amp; SUBSTITUTE(LEFT(CELL("filename"),FIND("]",CELL("filename"))),"[","") &amp; "mmu04370!A1","VEGF signaling pathway - Mus musculus (mouse)")</f>
        <v>VEGF signaling pathway - Mus musculus (mouse)</v>
      </c>
      <c r="C25">
        <v>18</v>
      </c>
      <c r="D25">
        <v>1.65</v>
      </c>
      <c r="E25">
        <v>5.3499999999999999E-2</v>
      </c>
      <c r="F25">
        <v>13</v>
      </c>
      <c r="G25">
        <v>1.81</v>
      </c>
      <c r="H25">
        <v>9.98E-2</v>
      </c>
      <c r="I25">
        <v>18</v>
      </c>
      <c r="J25">
        <v>2.19</v>
      </c>
      <c r="K25">
        <v>4.96E-3</v>
      </c>
      <c r="L25" s="52">
        <v>3</v>
      </c>
    </row>
    <row r="26" spans="1:12" x14ac:dyDescent="0.25">
      <c r="A26" s="1" t="str">
        <f ca="1">HYPERLINK("[" &amp; SUBSTITUTE(LEFT(CELL("filename"),FIND("]",CELL("filename"))),"[","") &amp; "mmu04970!A1","mmu04970")</f>
        <v>mmu04970</v>
      </c>
      <c r="B26" s="1" t="str">
        <f ca="1">HYPERLINK("[" &amp; SUBSTITUTE(LEFT(CELL("filename"),FIND("]",CELL("filename"))),"[","") &amp; "mmu04970!A1","Salivary secretion - Mus musculus (mouse)")</f>
        <v>Salivary secretion - Mus musculus (mouse)</v>
      </c>
      <c r="C26">
        <v>19</v>
      </c>
      <c r="D26">
        <v>1.56</v>
      </c>
      <c r="E26">
        <v>7.3499999999999996E-2</v>
      </c>
      <c r="F26">
        <v>16</v>
      </c>
      <c r="G26">
        <v>1.99</v>
      </c>
      <c r="H26">
        <v>3.9100000000000003E-2</v>
      </c>
      <c r="I26">
        <v>15</v>
      </c>
      <c r="J26">
        <v>1.63</v>
      </c>
      <c r="K26">
        <v>8.3000000000000004E-2</v>
      </c>
      <c r="L26" s="52">
        <v>3</v>
      </c>
    </row>
    <row r="27" spans="1:12" x14ac:dyDescent="0.25">
      <c r="A27" s="1" t="str">
        <f ca="1">HYPERLINK("[" &amp; SUBSTITUTE(LEFT(CELL("filename"),FIND("]",CELL("filename"))),"[","") &amp; "mmu05169!A1","mmu05169")</f>
        <v>mmu05169</v>
      </c>
      <c r="B27" s="1" t="str">
        <f ca="1">HYPERLINK("[" &amp; SUBSTITUTE(LEFT(CELL("filename"),FIND("]",CELL("filename"))),"[","") &amp; "mmu05169!A1","Epstein-Barr virus infection - Mus musculus (mouse)")</f>
        <v>Epstein-Barr virus infection - Mus musculus (mouse)</v>
      </c>
      <c r="C27">
        <v>63</v>
      </c>
      <c r="D27">
        <v>1.86</v>
      </c>
      <c r="E27">
        <v>6.0000000000000002E-6</v>
      </c>
      <c r="F27">
        <v>36</v>
      </c>
      <c r="G27">
        <v>1.61</v>
      </c>
      <c r="H27">
        <v>2.07E-2</v>
      </c>
      <c r="I27">
        <v>42</v>
      </c>
      <c r="J27">
        <v>1.64</v>
      </c>
      <c r="K27">
        <v>3.8400000000000001E-3</v>
      </c>
      <c r="L27" s="52">
        <v>3</v>
      </c>
    </row>
    <row r="28" spans="1:12" x14ac:dyDescent="0.25">
      <c r="A28" s="1" t="str">
        <f ca="1">HYPERLINK("[" &amp; SUBSTITUTE(LEFT(CELL("filename"),FIND("]",CELL("filename"))),"[","") &amp; "mmu04810!A1","mmu04810")</f>
        <v>mmu04810</v>
      </c>
      <c r="B28" s="1" t="str">
        <f ca="1">HYPERLINK("[" &amp; SUBSTITUTE(LEFT(CELL("filename"),FIND("]",CELL("filename"))),"[","") &amp; "mmu04810!A1","Regulation of actin cytoskeleton - Mus musculus (mouse)")</f>
        <v>Regulation of actin cytoskeleton - Mus musculus (mouse)</v>
      </c>
      <c r="C28">
        <v>60</v>
      </c>
      <c r="D28">
        <v>1.73</v>
      </c>
      <c r="E28">
        <v>7.7000000000000001E-5</v>
      </c>
      <c r="F28">
        <v>39</v>
      </c>
      <c r="G28">
        <v>1.71</v>
      </c>
      <c r="H28">
        <v>7.5900000000000004E-3</v>
      </c>
      <c r="I28">
        <v>43</v>
      </c>
      <c r="J28">
        <v>1.65</v>
      </c>
      <c r="K28">
        <v>3.5599999999999998E-3</v>
      </c>
      <c r="L28" s="52">
        <v>3</v>
      </c>
    </row>
    <row r="29" spans="1:12" x14ac:dyDescent="0.25">
      <c r="A29" s="1" t="str">
        <f ca="1">HYPERLINK("[" &amp; SUBSTITUTE(LEFT(CELL("filename"),FIND("]",CELL("filename"))),"[","") &amp; "mmu05310!A1","mmu05310")</f>
        <v>mmu05310</v>
      </c>
      <c r="B29" s="1" t="str">
        <f ca="1">HYPERLINK("[" &amp; SUBSTITUTE(LEFT(CELL("filename"),FIND("]",CELL("filename"))),"[","") &amp; "mmu05310!A1","Asthma - Mus musculus (mouse)")</f>
        <v>Asthma - Mus musculus (mouse)</v>
      </c>
      <c r="C29">
        <v>14</v>
      </c>
      <c r="D29">
        <v>3.8</v>
      </c>
      <c r="E29">
        <v>2.6999999999999999E-5</v>
      </c>
      <c r="F29" t="s">
        <v>1522</v>
      </c>
      <c r="G29" t="s">
        <v>1522</v>
      </c>
      <c r="H29" t="s">
        <v>1522</v>
      </c>
      <c r="I29">
        <v>16</v>
      </c>
      <c r="J29">
        <v>5.75</v>
      </c>
      <c r="K29">
        <v>0</v>
      </c>
      <c r="L29" s="52">
        <v>2</v>
      </c>
    </row>
    <row r="30" spans="1:12" x14ac:dyDescent="0.25">
      <c r="A30" s="1" t="str">
        <f ca="1">HYPERLINK("[" &amp; SUBSTITUTE(LEFT(CELL("filename"),FIND("]",CELL("filename"))),"[","") &amp; "mmu04672!A1","mmu04672")</f>
        <v>mmu04672</v>
      </c>
      <c r="B30" s="1" t="str">
        <f ca="1">HYPERLINK("[" &amp; SUBSTITUTE(LEFT(CELL("filename"),FIND("]",CELL("filename"))),"[","") &amp; "mmu04672!A1","Intestinal immune network for IgA production - Mus musculus (mouse)")</f>
        <v>Intestinal immune network for IgA production - Mus musculus (mouse)</v>
      </c>
      <c r="C30">
        <v>20</v>
      </c>
      <c r="D30">
        <v>3.04</v>
      </c>
      <c r="E30">
        <v>2.0999999999999999E-5</v>
      </c>
      <c r="F30" t="s">
        <v>1522</v>
      </c>
      <c r="G30" t="s">
        <v>1522</v>
      </c>
      <c r="H30" t="s">
        <v>1522</v>
      </c>
      <c r="I30">
        <v>21</v>
      </c>
      <c r="J30">
        <v>4.2300000000000004</v>
      </c>
      <c r="K30">
        <v>0</v>
      </c>
      <c r="L30" s="52">
        <v>2</v>
      </c>
    </row>
    <row r="31" spans="1:12" x14ac:dyDescent="0.25">
      <c r="A31" s="1" t="str">
        <f ca="1">HYPERLINK("[" &amp; SUBSTITUTE(LEFT(CELL("filename"),FIND("]",CELL("filename"))),"[","") &amp; "mmu03050!A1","mmu03050")</f>
        <v>mmu03050</v>
      </c>
      <c r="B31" s="1" t="str">
        <f ca="1">HYPERLINK("[" &amp; SUBSTITUTE(LEFT(CELL("filename"),FIND("]",CELL("filename"))),"[","") &amp; "mmu03050!A1","Proteasome - Mus musculus (mouse)")</f>
        <v>Proteasome - Mus musculus (mouse)</v>
      </c>
      <c r="C31">
        <v>17</v>
      </c>
      <c r="D31">
        <v>2.41</v>
      </c>
      <c r="E31">
        <v>1.5100000000000001E-3</v>
      </c>
      <c r="F31">
        <v>21</v>
      </c>
      <c r="G31">
        <v>4.51</v>
      </c>
      <c r="H31">
        <v>0</v>
      </c>
      <c r="I31" t="s">
        <v>1522</v>
      </c>
      <c r="J31" t="s">
        <v>1522</v>
      </c>
      <c r="K31" t="s">
        <v>1522</v>
      </c>
      <c r="L31" s="52">
        <v>2</v>
      </c>
    </row>
    <row r="32" spans="1:12" x14ac:dyDescent="0.25">
      <c r="A32" s="1" t="str">
        <f ca="1">HYPERLINK("[" &amp; SUBSTITUTE(LEFT(CELL("filename"),FIND("]",CELL("filename"))),"[","") &amp; "mmu05140!A1","mmu05140")</f>
        <v>mmu05140</v>
      </c>
      <c r="B32" s="1" t="str">
        <f ca="1">HYPERLINK("[" &amp; SUBSTITUTE(LEFT(CELL("filename"),FIND("]",CELL("filename"))),"[","") &amp; "mmu05140!A1","Leishmaniasis - Mus musculus (mouse)")</f>
        <v>Leishmaniasis - Mus musculus (mouse)</v>
      </c>
      <c r="C32">
        <v>28</v>
      </c>
      <c r="D32">
        <v>2.73</v>
      </c>
      <c r="E32">
        <v>3.9999999999999998E-6</v>
      </c>
      <c r="F32" t="s">
        <v>1522</v>
      </c>
      <c r="G32" t="s">
        <v>1522</v>
      </c>
      <c r="H32" t="s">
        <v>1522</v>
      </c>
      <c r="I32">
        <v>27</v>
      </c>
      <c r="J32">
        <v>3.49</v>
      </c>
      <c r="K32">
        <v>0</v>
      </c>
      <c r="L32" s="52">
        <v>2</v>
      </c>
    </row>
    <row r="33" spans="1:12" x14ac:dyDescent="0.25">
      <c r="A33" s="1" t="str">
        <f ca="1">HYPERLINK("[" &amp; SUBSTITUTE(LEFT(CELL("filename"),FIND("]",CELL("filename"))),"[","") &amp; "mmu05145!A1","mmu05145")</f>
        <v>mmu05145</v>
      </c>
      <c r="B33" s="1" t="str">
        <f ca="1">HYPERLINK("[" &amp; SUBSTITUTE(LEFT(CELL("filename"),FIND("]",CELL("filename"))),"[","") &amp; "mmu05145!A1","Toxoplasmosis - Mus musculus (mouse)")</f>
        <v>Toxoplasmosis - Mus musculus (mouse)</v>
      </c>
      <c r="C33">
        <v>43</v>
      </c>
      <c r="D33">
        <v>2.4</v>
      </c>
      <c r="E33">
        <v>0</v>
      </c>
      <c r="F33" t="s">
        <v>1522</v>
      </c>
      <c r="G33" t="s">
        <v>1522</v>
      </c>
      <c r="H33" t="s">
        <v>1522</v>
      </c>
      <c r="I33">
        <v>44</v>
      </c>
      <c r="J33">
        <v>3.25</v>
      </c>
      <c r="K33">
        <v>0</v>
      </c>
      <c r="L33" s="52">
        <v>2</v>
      </c>
    </row>
    <row r="34" spans="1:12" x14ac:dyDescent="0.25">
      <c r="A34" s="1" t="str">
        <f ca="1">HYPERLINK("[" &amp; SUBSTITUTE(LEFT(CELL("filename"),FIND("]",CELL("filename"))),"[","") &amp; "mmu05323!A1","mmu05323")</f>
        <v>mmu05323</v>
      </c>
      <c r="B34" s="1" t="str">
        <f ca="1">HYPERLINK("[" &amp; SUBSTITUTE(LEFT(CELL("filename"),FIND("]",CELL("filename"))),"[","") &amp; "mmu05323!A1","Rheumatoid arthritis - Mus musculus (mouse)")</f>
        <v>Rheumatoid arthritis - Mus musculus (mouse)</v>
      </c>
      <c r="C34">
        <v>29</v>
      </c>
      <c r="D34">
        <v>2.15</v>
      </c>
      <c r="E34">
        <v>2.4000000000000001E-4</v>
      </c>
      <c r="F34" t="s">
        <v>1522</v>
      </c>
      <c r="G34" t="s">
        <v>1522</v>
      </c>
      <c r="H34" t="s">
        <v>1522</v>
      </c>
      <c r="I34">
        <v>32</v>
      </c>
      <c r="J34">
        <v>3.15</v>
      </c>
      <c r="K34">
        <v>0</v>
      </c>
      <c r="L34" s="52">
        <v>2</v>
      </c>
    </row>
    <row r="35" spans="1:12" x14ac:dyDescent="0.25">
      <c r="A35" s="1" t="str">
        <f ca="1">HYPERLINK("[" &amp; SUBSTITUTE(LEFT(CELL("filename"),FIND("]",CELL("filename"))),"[","") &amp; "mmu00603!A1","mmu00603")</f>
        <v>mmu00603</v>
      </c>
      <c r="B35" s="1" t="str">
        <f ca="1">HYPERLINK("[" &amp; SUBSTITUTE(LEFT(CELL("filename"),FIND("]",CELL("filename"))),"[","") &amp; "mmu00603!A1","Glycosphingolipid biosynthesis - globo series - Mus musculus (mouse)")</f>
        <v>Glycosphingolipid biosynthesis - globo series - Mus musculus (mouse)</v>
      </c>
      <c r="C35">
        <v>6</v>
      </c>
      <c r="D35">
        <v>2.5</v>
      </c>
      <c r="E35">
        <v>6.25E-2</v>
      </c>
      <c r="F35" t="s">
        <v>1522</v>
      </c>
      <c r="G35" t="s">
        <v>1522</v>
      </c>
      <c r="H35" t="s">
        <v>1522</v>
      </c>
      <c r="I35">
        <v>5</v>
      </c>
      <c r="J35">
        <v>2.75</v>
      </c>
      <c r="K35">
        <v>6.7599999999999993E-2</v>
      </c>
      <c r="L35" s="52">
        <v>2</v>
      </c>
    </row>
    <row r="36" spans="1:12" x14ac:dyDescent="0.25">
      <c r="A36" s="1" t="str">
        <f ca="1">HYPERLINK("[" &amp; SUBSTITUTE(LEFT(CELL("filename"),FIND("]",CELL("filename"))),"[","") &amp; "mmu00640!A1","mmu00640")</f>
        <v>mmu00640</v>
      </c>
      <c r="B36" s="1" t="str">
        <f ca="1">HYPERLINK("[" &amp; SUBSTITUTE(LEFT(CELL("filename"),FIND("]",CELL("filename"))),"[","") &amp; "mmu00640!A1","Propanoate metabolism - Mus musculus (mouse)")</f>
        <v>Propanoate metabolism - Mus musculus (mouse)</v>
      </c>
      <c r="C36">
        <v>10</v>
      </c>
      <c r="D36">
        <v>2.08</v>
      </c>
      <c r="E36">
        <v>4.6600000000000003E-2</v>
      </c>
      <c r="F36">
        <v>10</v>
      </c>
      <c r="G36">
        <v>3.15</v>
      </c>
      <c r="H36">
        <v>8.8699999999999994E-3</v>
      </c>
      <c r="I36" t="s">
        <v>1522</v>
      </c>
      <c r="J36" t="s">
        <v>1522</v>
      </c>
      <c r="K36" t="s">
        <v>1522</v>
      </c>
      <c r="L36" s="52">
        <v>2</v>
      </c>
    </row>
    <row r="37" spans="1:12" x14ac:dyDescent="0.25">
      <c r="A37" s="1" t="str">
        <f ca="1">HYPERLINK("[" &amp; SUBSTITUTE(LEFT(CELL("filename"),FIND("]",CELL("filename"))),"[","") &amp; "mmu05340!A1","mmu05340")</f>
        <v>mmu05340</v>
      </c>
      <c r="B37" s="1" t="str">
        <f ca="1">HYPERLINK("[" &amp; SUBSTITUTE(LEFT(CELL("filename"),FIND("]",CELL("filename"))),"[","") &amp; "mmu05340!A1","Primary immunodeficiency - Mus musculus (mouse)")</f>
        <v>Primary immunodeficiency - Mus musculus (mouse)</v>
      </c>
      <c r="C37">
        <v>13</v>
      </c>
      <c r="D37">
        <v>2.3199999999999998</v>
      </c>
      <c r="E37">
        <v>8.7200000000000003E-3</v>
      </c>
      <c r="F37">
        <v>10</v>
      </c>
      <c r="G37">
        <v>2.7</v>
      </c>
      <c r="H37">
        <v>2.1499999999999998E-2</v>
      </c>
      <c r="I37" t="s">
        <v>1522</v>
      </c>
      <c r="J37" t="s">
        <v>1522</v>
      </c>
      <c r="K37" t="s">
        <v>1522</v>
      </c>
      <c r="L37" s="52">
        <v>2</v>
      </c>
    </row>
    <row r="38" spans="1:12" x14ac:dyDescent="0.25">
      <c r="A38" s="1" t="str">
        <f ca="1">HYPERLINK("[" &amp; SUBSTITUTE(LEFT(CELL("filename"),FIND("]",CELL("filename"))),"[","") &amp; "mmu05150!A1","mmu05150")</f>
        <v>mmu05150</v>
      </c>
      <c r="B38" s="1" t="str">
        <f ca="1">HYPERLINK("[" &amp; SUBSTITUTE(LEFT(CELL("filename"),FIND("]",CELL("filename"))),"[","") &amp; "mmu05150!A1","Staphylococcus aureus infection - Mus musculus (mouse)")</f>
        <v>Staphylococcus aureus infection - Mus musculus (mouse)</v>
      </c>
      <c r="C38">
        <v>16</v>
      </c>
      <c r="D38">
        <v>2</v>
      </c>
      <c r="E38">
        <v>1.47E-2</v>
      </c>
      <c r="F38" t="s">
        <v>1522</v>
      </c>
      <c r="G38" t="s">
        <v>1522</v>
      </c>
      <c r="H38" t="s">
        <v>1522</v>
      </c>
      <c r="I38">
        <v>17</v>
      </c>
      <c r="J38">
        <v>2.81</v>
      </c>
      <c r="K38">
        <v>3.9100000000000002E-4</v>
      </c>
      <c r="L38" s="52">
        <v>2</v>
      </c>
    </row>
    <row r="39" spans="1:12" x14ac:dyDescent="0.25">
      <c r="A39" s="1" t="str">
        <f ca="1">HYPERLINK("[" &amp; SUBSTITUTE(LEFT(CELL("filename"),FIND("]",CELL("filename"))),"[","") &amp; "mmu04064!A1","mmu04064")</f>
        <v>mmu04064</v>
      </c>
      <c r="B39" s="1" t="str">
        <f ca="1">HYPERLINK("[" &amp; SUBSTITUTE(LEFT(CELL("filename"),FIND("]",CELL("filename"))),"[","") &amp; "mmu04064!A1","NF-kappa B signaling pathway - Mus musculus (mouse)")</f>
        <v>NF-kappa B signaling pathway - Mus musculus (mouse)</v>
      </c>
      <c r="C39">
        <v>37</v>
      </c>
      <c r="D39">
        <v>2.29</v>
      </c>
      <c r="E39">
        <v>7.9999999999999996E-6</v>
      </c>
      <c r="F39" t="s">
        <v>1522</v>
      </c>
      <c r="G39" t="s">
        <v>1522</v>
      </c>
      <c r="H39" t="s">
        <v>1522</v>
      </c>
      <c r="I39">
        <v>30</v>
      </c>
      <c r="J39">
        <v>2.4500000000000002</v>
      </c>
      <c r="K39">
        <v>2.5000000000000001E-5</v>
      </c>
      <c r="L39" s="52">
        <v>2</v>
      </c>
    </row>
    <row r="40" spans="1:12" x14ac:dyDescent="0.25">
      <c r="A40" s="1" t="str">
        <f ca="1">HYPERLINK("[" &amp; SUBSTITUTE(LEFT(CELL("filename"),FIND("]",CELL("filename"))),"[","") &amp; "mmu04115!A1","mmu04115")</f>
        <v>mmu04115</v>
      </c>
      <c r="B40" s="1" t="str">
        <f ca="1">HYPERLINK("[" &amp; SUBSTITUTE(LEFT(CELL("filename"),FIND("]",CELL("filename"))),"[","") &amp; "mmu04115!A1","p53 signaling pathway - Mus musculus (mouse)")</f>
        <v>p53 signaling pathway - Mus musculus (mouse)</v>
      </c>
      <c r="C40">
        <v>26</v>
      </c>
      <c r="D40">
        <v>2.35</v>
      </c>
      <c r="E40">
        <v>1.21E-4</v>
      </c>
      <c r="F40" t="s">
        <v>1522</v>
      </c>
      <c r="G40" t="s">
        <v>1522</v>
      </c>
      <c r="H40" t="s">
        <v>1522</v>
      </c>
      <c r="I40">
        <v>18</v>
      </c>
      <c r="J40">
        <v>2.16</v>
      </c>
      <c r="K40">
        <v>5.4999999999999997E-3</v>
      </c>
      <c r="L40" s="52">
        <v>2</v>
      </c>
    </row>
    <row r="41" spans="1:12" x14ac:dyDescent="0.25">
      <c r="A41" s="1" t="str">
        <f ca="1">HYPERLINK("[" &amp; SUBSTITUTE(LEFT(CELL("filename"),FIND("]",CELL("filename"))),"[","") &amp; "mmu05142!A1","mmu05142")</f>
        <v>mmu05142</v>
      </c>
      <c r="B41" s="1" t="str">
        <f ca="1">HYPERLINK("[" &amp; SUBSTITUTE(LEFT(CELL("filename"),FIND("]",CELL("filename"))),"[","") &amp; "mmu05142!A1","Chagas disease (American trypanosomiasis) - Mus musculus (mouse)")</f>
        <v>Chagas disease (American trypanosomiasis) - Mus musculus (mouse)</v>
      </c>
      <c r="C41">
        <v>35</v>
      </c>
      <c r="D41">
        <v>2.12</v>
      </c>
      <c r="E41">
        <v>7.4999999999999993E-5</v>
      </c>
      <c r="F41" t="s">
        <v>1522</v>
      </c>
      <c r="G41" t="s">
        <v>1522</v>
      </c>
      <c r="H41" t="s">
        <v>1522</v>
      </c>
      <c r="I41">
        <v>29</v>
      </c>
      <c r="J41">
        <v>2.33</v>
      </c>
      <c r="K41">
        <v>9.8999999999999994E-5</v>
      </c>
      <c r="L41" s="52">
        <v>2</v>
      </c>
    </row>
    <row r="42" spans="1:12" x14ac:dyDescent="0.25">
      <c r="A42" s="1" t="str">
        <f ca="1">HYPERLINK("[" &amp; SUBSTITUTE(LEFT(CELL("filename"),FIND("]",CELL("filename"))),"[","") &amp; "mmu05222!A1","mmu05222")</f>
        <v>mmu05222</v>
      </c>
      <c r="B42" s="1" t="str">
        <f ca="1">HYPERLINK("[" &amp; SUBSTITUTE(LEFT(CELL("filename"),FIND("]",CELL("filename"))),"[","") &amp; "mmu05222!A1","Small cell lung cancer - Mus musculus (mouse)")</f>
        <v>Small cell lung cancer - Mus musculus (mouse)</v>
      </c>
      <c r="C42">
        <v>28</v>
      </c>
      <c r="D42">
        <v>2.0299999999999998</v>
      </c>
      <c r="E42">
        <v>7.54E-4</v>
      </c>
      <c r="F42" t="s">
        <v>1522</v>
      </c>
      <c r="G42" t="s">
        <v>1522</v>
      </c>
      <c r="H42" t="s">
        <v>1522</v>
      </c>
      <c r="I42">
        <v>25</v>
      </c>
      <c r="J42">
        <v>2.4</v>
      </c>
      <c r="K42">
        <v>1.9599999999999999E-4</v>
      </c>
      <c r="L42" s="52">
        <v>2</v>
      </c>
    </row>
    <row r="43" spans="1:12" x14ac:dyDescent="0.25">
      <c r="A43" s="1" t="str">
        <f ca="1">HYPERLINK("[" &amp; SUBSTITUTE(LEFT(CELL("filename"),FIND("]",CELL("filename"))),"[","") &amp; "mmu00512!A1","mmu00512")</f>
        <v>mmu00512</v>
      </c>
      <c r="B43" s="1" t="str">
        <f ca="1">HYPERLINK("[" &amp; SUBSTITUTE(LEFT(CELL("filename"),FIND("]",CELL("filename"))),"[","") &amp; "mmu00512!A1","Mucin type O-Glycan biosynthesis - Mus musculus (mouse)")</f>
        <v>Mucin type O-Glycan biosynthesis - Mus musculus (mouse)</v>
      </c>
      <c r="C43">
        <v>9</v>
      </c>
      <c r="D43">
        <v>2.0099999999999998</v>
      </c>
      <c r="E43">
        <v>7.0400000000000004E-2</v>
      </c>
      <c r="F43" t="s">
        <v>1522</v>
      </c>
      <c r="G43" t="s">
        <v>1522</v>
      </c>
      <c r="H43" t="s">
        <v>1522</v>
      </c>
      <c r="I43">
        <v>8</v>
      </c>
      <c r="J43">
        <v>2.36</v>
      </c>
      <c r="K43">
        <v>4.3200000000000002E-2</v>
      </c>
      <c r="L43" s="52">
        <v>2</v>
      </c>
    </row>
    <row r="44" spans="1:12" x14ac:dyDescent="0.25">
      <c r="A44" s="1" t="str">
        <f ca="1">HYPERLINK("[" &amp; SUBSTITUTE(LEFT(CELL("filename"),FIND("]",CELL("filename"))),"[","") &amp; "mmu04978!A1","mmu04978")</f>
        <v>mmu04978</v>
      </c>
      <c r="B44" s="1" t="str">
        <f ca="1">HYPERLINK("[" &amp; SUBSTITUTE(LEFT(CELL("filename"),FIND("]",CELL("filename"))),"[","") &amp; "mmu04978!A1","Mineral absorption - Mus musculus (mouse)")</f>
        <v>Mineral absorption - Mus musculus (mouse)</v>
      </c>
      <c r="C44">
        <v>15</v>
      </c>
      <c r="D44">
        <v>2.0299999999999998</v>
      </c>
      <c r="E44">
        <v>1.5100000000000001E-2</v>
      </c>
      <c r="F44" t="s">
        <v>1522</v>
      </c>
      <c r="G44" t="s">
        <v>1522</v>
      </c>
      <c r="H44" t="s">
        <v>1522</v>
      </c>
      <c r="I44">
        <v>13</v>
      </c>
      <c r="J44">
        <v>2.34</v>
      </c>
      <c r="K44">
        <v>1.04E-2</v>
      </c>
      <c r="L44" s="52">
        <v>2</v>
      </c>
    </row>
    <row r="45" spans="1:12" x14ac:dyDescent="0.25">
      <c r="A45" s="1" t="str">
        <f ca="1">HYPERLINK("[" &amp; SUBSTITUTE(LEFT(CELL("filename"),FIND("]",CELL("filename"))),"[","") &amp; "mmu00071!A1","mmu00071")</f>
        <v>mmu00071</v>
      </c>
      <c r="B45" s="1" t="str">
        <f ca="1">HYPERLINK("[" &amp; SUBSTITUTE(LEFT(CELL("filename"),FIND("]",CELL("filename"))),"[","") &amp; "mmu00071!A1","Fatty acid metabolism - Mus musculus (mouse)")</f>
        <v>Fatty acid metabolism - Mus musculus (mouse)</v>
      </c>
      <c r="C45">
        <v>15</v>
      </c>
      <c r="D45">
        <v>2.0299999999999998</v>
      </c>
      <c r="E45">
        <v>1.5100000000000001E-2</v>
      </c>
      <c r="F45">
        <v>11</v>
      </c>
      <c r="G45">
        <v>2.2599999999999998</v>
      </c>
      <c r="H45">
        <v>0.05</v>
      </c>
      <c r="I45" t="s">
        <v>1522</v>
      </c>
      <c r="J45" t="s">
        <v>1522</v>
      </c>
      <c r="K45" t="s">
        <v>1522</v>
      </c>
      <c r="L45" s="52">
        <v>2</v>
      </c>
    </row>
    <row r="46" spans="1:12" x14ac:dyDescent="0.25">
      <c r="A46" s="1" t="str">
        <f ca="1">HYPERLINK("[" &amp; SUBSTITUTE(LEFT(CELL("filename"),FIND("]",CELL("filename"))),"[","") &amp; "mmu05164!A1","mmu05164")</f>
        <v>mmu05164</v>
      </c>
      <c r="B46" s="1" t="str">
        <f ca="1">HYPERLINK("[" &amp; SUBSTITUTE(LEFT(CELL("filename"),FIND("]",CELL("filename"))),"[","") &amp; "mmu05164!A1","Influenza A - Mus musculus (mouse)")</f>
        <v>Influenza A - Mus musculus (mouse)</v>
      </c>
      <c r="C46">
        <v>47</v>
      </c>
      <c r="D46">
        <v>1.71</v>
      </c>
      <c r="E46">
        <v>6.2200000000000005E-4</v>
      </c>
      <c r="F46" t="s">
        <v>1522</v>
      </c>
      <c r="G46" t="s">
        <v>1522</v>
      </c>
      <c r="H46" t="s">
        <v>1522</v>
      </c>
      <c r="I46">
        <v>52</v>
      </c>
      <c r="J46">
        <v>2.5099999999999998</v>
      </c>
      <c r="K46">
        <v>0</v>
      </c>
      <c r="L46" s="52">
        <v>2</v>
      </c>
    </row>
    <row r="47" spans="1:12" x14ac:dyDescent="0.25">
      <c r="A47" s="1" t="str">
        <f ca="1">HYPERLINK("[" &amp; SUBSTITUTE(LEFT(CELL("filename"),FIND("]",CELL("filename"))),"[","") &amp; "mmu00340!A1","mmu00340")</f>
        <v>mmu00340</v>
      </c>
      <c r="B47" s="1" t="str">
        <f ca="1">HYPERLINK("[" &amp; SUBSTITUTE(LEFT(CELL("filename"),FIND("]",CELL("filename"))),"[","") &amp; "mmu00340!A1","Histidine metabolism - Mus musculus (mouse)")</f>
        <v>Histidine metabolism - Mus musculus (mouse)</v>
      </c>
      <c r="C47">
        <v>9</v>
      </c>
      <c r="D47">
        <v>1.94</v>
      </c>
      <c r="E47">
        <v>8.0500000000000002E-2</v>
      </c>
      <c r="F47" t="s">
        <v>1522</v>
      </c>
      <c r="G47" t="s">
        <v>1522</v>
      </c>
      <c r="H47" t="s">
        <v>1522</v>
      </c>
      <c r="I47">
        <v>8</v>
      </c>
      <c r="J47">
        <v>2.2799999999999998</v>
      </c>
      <c r="K47">
        <v>5.1200000000000002E-2</v>
      </c>
      <c r="L47" s="52">
        <v>2</v>
      </c>
    </row>
    <row r="48" spans="1:12" x14ac:dyDescent="0.25">
      <c r="A48" s="1" t="str">
        <f ca="1">HYPERLINK("[" &amp; SUBSTITUTE(LEFT(CELL("filename"),FIND("]",CELL("filename"))),"[","") &amp; "mmu04622!A1","mmu04622")</f>
        <v>mmu04622</v>
      </c>
      <c r="B48" s="1" t="str">
        <f ca="1">HYPERLINK("[" &amp; SUBSTITUTE(LEFT(CELL("filename"),FIND("]",CELL("filename"))),"[","") &amp; "mmu04622!A1","RIG-I-like receptor signaling pathway - Mus musculus (mouse)")</f>
        <v>RIG-I-like receptor signaling pathway - Mus musculus (mouse)</v>
      </c>
      <c r="C48">
        <v>21</v>
      </c>
      <c r="D48">
        <v>1.9</v>
      </c>
      <c r="E48">
        <v>8.7200000000000003E-3</v>
      </c>
      <c r="F48" t="s">
        <v>1522</v>
      </c>
      <c r="G48" t="s">
        <v>1522</v>
      </c>
      <c r="H48" t="s">
        <v>1522</v>
      </c>
      <c r="I48">
        <v>19</v>
      </c>
      <c r="J48">
        <v>2.2799999999999998</v>
      </c>
      <c r="K48">
        <v>2.6700000000000001E-3</v>
      </c>
      <c r="L48" s="52">
        <v>2</v>
      </c>
    </row>
    <row r="49" spans="1:12" x14ac:dyDescent="0.25">
      <c r="A49" s="1" t="str">
        <f ca="1">HYPERLINK("[" &amp; SUBSTITUTE(LEFT(CELL("filename"),FIND("]",CELL("filename"))),"[","") &amp; "mmu04512!A1","mmu04512")</f>
        <v>mmu04512</v>
      </c>
      <c r="B49" s="1" t="str">
        <f ca="1">HYPERLINK("[" &amp; SUBSTITUTE(LEFT(CELL("filename"),FIND("]",CELL("filename"))),"[","") &amp; "mmu04512!A1","ECM-receptor interaction - Mus musculus (mouse)")</f>
        <v>ECM-receptor interaction - Mus musculus (mouse)</v>
      </c>
      <c r="C49" t="s">
        <v>1522</v>
      </c>
      <c r="D49" t="s">
        <v>1522</v>
      </c>
      <c r="E49" t="s">
        <v>1522</v>
      </c>
      <c r="F49">
        <v>20</v>
      </c>
      <c r="G49">
        <v>2.17</v>
      </c>
      <c r="H49">
        <v>8.0000000000000002E-3</v>
      </c>
      <c r="I49">
        <v>21</v>
      </c>
      <c r="J49">
        <v>1.99</v>
      </c>
      <c r="K49">
        <v>6.3E-3</v>
      </c>
      <c r="L49" s="52">
        <v>2</v>
      </c>
    </row>
    <row r="50" spans="1:12" x14ac:dyDescent="0.25">
      <c r="A50" s="1" t="str">
        <f ca="1">HYPERLINK("[" &amp; SUBSTITUTE(LEFT(CELL("filename"),FIND("]",CELL("filename"))),"[","") &amp; "mmu00520!A1","mmu00520")</f>
        <v>mmu00520</v>
      </c>
      <c r="B50" s="1" t="str">
        <f ca="1">HYPERLINK("[" &amp; SUBSTITUTE(LEFT(CELL("filename"),FIND("]",CELL("filename"))),"[","") &amp; "mmu00520!A1","Amino sugar and nucleotide sugar metabolism - Mus musculus (mouse)")</f>
        <v>Amino sugar and nucleotide sugar metabolism - Mus musculus (mouse)</v>
      </c>
      <c r="C50">
        <v>16</v>
      </c>
      <c r="D50">
        <v>2.04</v>
      </c>
      <c r="E50">
        <v>1.21E-2</v>
      </c>
      <c r="F50">
        <v>11</v>
      </c>
      <c r="G50">
        <v>2.12</v>
      </c>
      <c r="H50">
        <v>6.8599999999999994E-2</v>
      </c>
      <c r="I50" t="s">
        <v>1522</v>
      </c>
      <c r="J50" t="s">
        <v>1522</v>
      </c>
      <c r="K50" t="s">
        <v>1522</v>
      </c>
      <c r="L50" s="52">
        <v>2</v>
      </c>
    </row>
    <row r="51" spans="1:12" x14ac:dyDescent="0.25">
      <c r="A51" s="1" t="str">
        <f ca="1">HYPERLINK("[" &amp; SUBSTITUTE(LEFT(CELL("filename"),FIND("]",CELL("filename"))),"[","") &amp; "mmu05146!A1","mmu05146")</f>
        <v>mmu05146</v>
      </c>
      <c r="B51" s="1" t="str">
        <f ca="1">HYPERLINK("[" &amp; SUBSTITUTE(LEFT(CELL("filename"),FIND("]",CELL("filename"))),"[","") &amp; "mmu05146!A1","Amoebiasis - Mus musculus (mouse)")</f>
        <v>Amoebiasis - Mus musculus (mouse)</v>
      </c>
      <c r="C51">
        <v>31</v>
      </c>
      <c r="D51">
        <v>1.64</v>
      </c>
      <c r="E51">
        <v>1.15E-2</v>
      </c>
      <c r="F51" t="s">
        <v>1522</v>
      </c>
      <c r="G51" t="s">
        <v>1522</v>
      </c>
      <c r="H51" t="s">
        <v>1522</v>
      </c>
      <c r="I51">
        <v>36</v>
      </c>
      <c r="J51">
        <v>2.52</v>
      </c>
      <c r="K51">
        <v>1.9999999999999999E-6</v>
      </c>
      <c r="L51" s="52">
        <v>2</v>
      </c>
    </row>
    <row r="52" spans="1:12" x14ac:dyDescent="0.25">
      <c r="A52" s="1" t="str">
        <f ca="1">HYPERLINK("[" &amp; SUBSTITUTE(LEFT(CELL("filename"),FIND("]",CELL("filename"))),"[","") &amp; "mmu04380!A1","mmu04380")</f>
        <v>mmu04380</v>
      </c>
      <c r="B52" s="1" t="str">
        <f ca="1">HYPERLINK("[" &amp; SUBSTITUTE(LEFT(CELL("filename"),FIND("]",CELL("filename"))),"[","") &amp; "mmu04380!A1","Osteoclast differentiation - Mus musculus (mouse)")</f>
        <v>Osteoclast differentiation - Mus musculus (mouse)</v>
      </c>
      <c r="C52">
        <v>38</v>
      </c>
      <c r="D52">
        <v>1.87</v>
      </c>
      <c r="E52">
        <v>4.64E-4</v>
      </c>
      <c r="F52" t="s">
        <v>1522</v>
      </c>
      <c r="G52" t="s">
        <v>1522</v>
      </c>
      <c r="H52" t="s">
        <v>1522</v>
      </c>
      <c r="I52">
        <v>35</v>
      </c>
      <c r="J52">
        <v>2.2799999999999998</v>
      </c>
      <c r="K52">
        <v>2.5000000000000001E-5</v>
      </c>
      <c r="L52" s="52">
        <v>2</v>
      </c>
    </row>
    <row r="53" spans="1:12" x14ac:dyDescent="0.25">
      <c r="A53" s="1" t="str">
        <f ca="1">HYPERLINK("[" &amp; SUBSTITUTE(LEFT(CELL("filename"),FIND("]",CELL("filename"))),"[","") &amp; "mmu04621!A1","mmu04621")</f>
        <v>mmu04621</v>
      </c>
      <c r="B53" s="1" t="str">
        <f ca="1">HYPERLINK("[" &amp; SUBSTITUTE(LEFT(CELL("filename"),FIND("]",CELL("filename"))),"[","") &amp; "mmu04621!A1","NOD-like receptor signaling pathway - Mus musculus (mouse)")</f>
        <v>NOD-like receptor signaling pathway - Mus musculus (mouse)</v>
      </c>
      <c r="C53">
        <v>19</v>
      </c>
      <c r="D53">
        <v>2.0099999999999998</v>
      </c>
      <c r="E53">
        <v>7.1399999999999996E-3</v>
      </c>
      <c r="F53" t="s">
        <v>1522</v>
      </c>
      <c r="G53" t="s">
        <v>1522</v>
      </c>
      <c r="H53" t="s">
        <v>1522</v>
      </c>
      <c r="I53">
        <v>15</v>
      </c>
      <c r="J53">
        <v>2.1</v>
      </c>
      <c r="K53">
        <v>1.3899999999999999E-2</v>
      </c>
      <c r="L53" s="52">
        <v>2</v>
      </c>
    </row>
    <row r="54" spans="1:12" x14ac:dyDescent="0.25">
      <c r="A54" s="1" t="str">
        <f ca="1">HYPERLINK("[" &amp; SUBSTITUTE(LEFT(CELL("filename"),FIND("]",CELL("filename"))),"[","") &amp; "mmu05020!A1","mmu05020")</f>
        <v>mmu05020</v>
      </c>
      <c r="B54" s="1" t="str">
        <f ca="1">HYPERLINK("[" &amp; SUBSTITUTE(LEFT(CELL("filename"),FIND("]",CELL("filename"))),"[","") &amp; "mmu05020!A1","Prion diseases - Mus musculus (mouse)")</f>
        <v>Prion diseases - Mus musculus (mouse)</v>
      </c>
      <c r="C54">
        <v>11</v>
      </c>
      <c r="D54">
        <v>1.96</v>
      </c>
      <c r="E54">
        <v>5.11E-2</v>
      </c>
      <c r="F54" t="s">
        <v>1522</v>
      </c>
      <c r="G54" t="s">
        <v>1522</v>
      </c>
      <c r="H54" t="s">
        <v>1522</v>
      </c>
      <c r="I54">
        <v>9</v>
      </c>
      <c r="J54">
        <v>2.12</v>
      </c>
      <c r="K54">
        <v>5.5599999999999997E-2</v>
      </c>
      <c r="L54" s="52">
        <v>2</v>
      </c>
    </row>
    <row r="55" spans="1:12" x14ac:dyDescent="0.25">
      <c r="A55" s="1" t="str">
        <f ca="1">HYPERLINK("[" &amp; SUBSTITUTE(LEFT(CELL("filename"),FIND("]",CELL("filename"))),"[","") &amp; "mmu00330!A1","mmu00330")</f>
        <v>mmu00330</v>
      </c>
      <c r="B55" s="1" t="str">
        <f ca="1">HYPERLINK("[" &amp; SUBSTITUTE(LEFT(CELL("filename"),FIND("]",CELL("filename"))),"[","") &amp; "mmu00330!A1","Arginine and proline metabolism - Mus musculus (mouse)")</f>
        <v>Arginine and proline metabolism - Mus musculus (mouse)</v>
      </c>
      <c r="C55">
        <v>18</v>
      </c>
      <c r="D55">
        <v>2.0099999999999998</v>
      </c>
      <c r="E55">
        <v>8.7500000000000008E-3</v>
      </c>
      <c r="F55" t="s">
        <v>1522</v>
      </c>
      <c r="G55" t="s">
        <v>1522</v>
      </c>
      <c r="H55" t="s">
        <v>1522</v>
      </c>
      <c r="I55">
        <v>14</v>
      </c>
      <c r="J55">
        <v>2.0699999999999998</v>
      </c>
      <c r="K55">
        <v>2.0400000000000001E-2</v>
      </c>
      <c r="L55" s="52">
        <v>2</v>
      </c>
    </row>
    <row r="56" spans="1:12" x14ac:dyDescent="0.25">
      <c r="A56" s="1" t="str">
        <f ca="1">HYPERLINK("[" &amp; SUBSTITUTE(LEFT(CELL("filename"),FIND("]",CELL("filename"))),"[","") &amp; "mmu04066!A1","mmu04066")</f>
        <v>mmu04066</v>
      </c>
      <c r="B56" s="1" t="str">
        <f ca="1">HYPERLINK("[" &amp; SUBSTITUTE(LEFT(CELL("filename"),FIND("]",CELL("filename"))),"[","") &amp; "mmu04066!A1","HIF-1 signaling pathway - Mus musculus (mouse)")</f>
        <v>HIF-1 signaling pathway - Mus musculus (mouse)</v>
      </c>
      <c r="C56">
        <v>37</v>
      </c>
      <c r="D56">
        <v>1.99</v>
      </c>
      <c r="E56">
        <v>1.64E-4</v>
      </c>
      <c r="F56" t="s">
        <v>1522</v>
      </c>
      <c r="G56" t="s">
        <v>1522</v>
      </c>
      <c r="H56" t="s">
        <v>1522</v>
      </c>
      <c r="I56">
        <v>28</v>
      </c>
      <c r="J56">
        <v>1.99</v>
      </c>
      <c r="K56">
        <v>1.66E-3</v>
      </c>
      <c r="L56" s="52">
        <v>2</v>
      </c>
    </row>
    <row r="57" spans="1:12" x14ac:dyDescent="0.25">
      <c r="A57" s="1" t="str">
        <f ca="1">HYPERLINK("[" &amp; SUBSTITUTE(LEFT(CELL("filename"),FIND("]",CELL("filename"))),"[","") &amp; "mmu00562!A1","mmu00562")</f>
        <v>mmu00562</v>
      </c>
      <c r="B57" s="1" t="str">
        <f ca="1">HYPERLINK("[" &amp; SUBSTITUTE(LEFT(CELL("filename"),FIND("]",CELL("filename"))),"[","") &amp; "mmu00562!A1","Inositol phosphate metabolism - Mus musculus (mouse)")</f>
        <v>Inositol phosphate metabolism - Mus musculus (mouse)</v>
      </c>
      <c r="C57">
        <v>16</v>
      </c>
      <c r="D57">
        <v>1.64</v>
      </c>
      <c r="E57">
        <v>7.3499999999999996E-2</v>
      </c>
      <c r="F57">
        <v>15</v>
      </c>
      <c r="G57">
        <v>2.33</v>
      </c>
      <c r="H57">
        <v>1.5100000000000001E-2</v>
      </c>
      <c r="I57" t="s">
        <v>1522</v>
      </c>
      <c r="J57" t="s">
        <v>1522</v>
      </c>
      <c r="K57" t="s">
        <v>1522</v>
      </c>
      <c r="L57" s="52">
        <v>2</v>
      </c>
    </row>
    <row r="58" spans="1:12" x14ac:dyDescent="0.25">
      <c r="A58" s="1" t="str">
        <f ca="1">HYPERLINK("[" &amp; SUBSTITUTE(LEFT(CELL("filename"),FIND("]",CELL("filename"))),"[","") &amp; "mmu05152!A1","mmu05152")</f>
        <v>mmu05152</v>
      </c>
      <c r="B58" s="1" t="str">
        <f ca="1">HYPERLINK("[" &amp; SUBSTITUTE(LEFT(CELL("filename"),FIND("]",CELL("filename"))),"[","") &amp; "mmu05152!A1","Tuberculosis - Mus musculus (mouse)")</f>
        <v>Tuberculosis - Mus musculus (mouse)</v>
      </c>
      <c r="C58">
        <v>52</v>
      </c>
      <c r="D58">
        <v>1.84</v>
      </c>
      <c r="E58">
        <v>6.0999999999999999E-5</v>
      </c>
      <c r="F58" t="s">
        <v>1522</v>
      </c>
      <c r="G58" t="s">
        <v>1522</v>
      </c>
      <c r="H58" t="s">
        <v>1522</v>
      </c>
      <c r="I58">
        <v>45</v>
      </c>
      <c r="J58">
        <v>2.11</v>
      </c>
      <c r="K58">
        <v>1.2E-5</v>
      </c>
      <c r="L58" s="52">
        <v>2</v>
      </c>
    </row>
    <row r="59" spans="1:12" x14ac:dyDescent="0.25">
      <c r="A59" s="1" t="str">
        <f ca="1">HYPERLINK("[" &amp; SUBSTITUTE(LEFT(CELL("filename"),FIND("]",CELL("filename"))),"[","") &amp; "mmu05162!A1","mmu05162")</f>
        <v>mmu05162</v>
      </c>
      <c r="B59" s="1" t="str">
        <f ca="1">HYPERLINK("[" &amp; SUBSTITUTE(LEFT(CELL("filename"),FIND("]",CELL("filename"))),"[","") &amp; "mmu05162!A1","Measles - Mus musculus (mouse)")</f>
        <v>Measles - Mus musculus (mouse)</v>
      </c>
      <c r="C59">
        <v>34</v>
      </c>
      <c r="D59">
        <v>1.54</v>
      </c>
      <c r="E59">
        <v>2.01E-2</v>
      </c>
      <c r="F59" t="s">
        <v>1522</v>
      </c>
      <c r="G59" t="s">
        <v>1522</v>
      </c>
      <c r="H59" t="s">
        <v>1522</v>
      </c>
      <c r="I59">
        <v>40</v>
      </c>
      <c r="J59">
        <v>2.4</v>
      </c>
      <c r="K59">
        <v>1.9999999999999999E-6</v>
      </c>
      <c r="L59" s="52">
        <v>2</v>
      </c>
    </row>
    <row r="60" spans="1:12" x14ac:dyDescent="0.25">
      <c r="A60" s="1" t="str">
        <f ca="1">HYPERLINK("[" &amp; SUBSTITUTE(LEFT(CELL("filename"),FIND("]",CELL("filename"))),"[","") &amp; "mmu04930!A1","mmu04930")</f>
        <v>mmu04930</v>
      </c>
      <c r="B60" s="1" t="str">
        <f ca="1">HYPERLINK("[" &amp; SUBSTITUTE(LEFT(CELL("filename"),FIND("]",CELL("filename"))),"[","") &amp; "mmu04930!A1","Type II diabetes mellitus - Mus musculus (mouse)")</f>
        <v>Type II diabetes mellitus - Mus musculus (mouse)</v>
      </c>
      <c r="C60">
        <v>15</v>
      </c>
      <c r="D60">
        <v>1.87</v>
      </c>
      <c r="E60">
        <v>3.32E-2</v>
      </c>
      <c r="F60" t="s">
        <v>1522</v>
      </c>
      <c r="G60" t="s">
        <v>1522</v>
      </c>
      <c r="H60" t="s">
        <v>1522</v>
      </c>
      <c r="I60">
        <v>12</v>
      </c>
      <c r="J60">
        <v>1.98</v>
      </c>
      <c r="K60">
        <v>4.2200000000000001E-2</v>
      </c>
      <c r="L60" s="52">
        <v>2</v>
      </c>
    </row>
    <row r="61" spans="1:12" x14ac:dyDescent="0.25">
      <c r="A61" s="1" t="str">
        <f ca="1">HYPERLINK("[" &amp; SUBSTITUTE(LEFT(CELL("filename"),FIND("]",CELL("filename"))),"[","") &amp; "mmu04722!A1","mmu04722")</f>
        <v>mmu04722</v>
      </c>
      <c r="B61" s="1" t="str">
        <f ca="1">HYPERLINK("[" &amp; SUBSTITUTE(LEFT(CELL("filename"),FIND("]",CELL("filename"))),"[","") &amp; "mmu04722!A1","Neurotrophin signaling pathway - Mus musculus (mouse)")</f>
        <v>Neurotrophin signaling pathway - Mus musculus (mouse)</v>
      </c>
      <c r="C61">
        <v>40</v>
      </c>
      <c r="D61">
        <v>2.06</v>
      </c>
      <c r="E61">
        <v>4.5000000000000003E-5</v>
      </c>
      <c r="F61" t="s">
        <v>1522</v>
      </c>
      <c r="G61" t="s">
        <v>1522</v>
      </c>
      <c r="H61" t="s">
        <v>1522</v>
      </c>
      <c r="I61">
        <v>26</v>
      </c>
      <c r="J61">
        <v>1.78</v>
      </c>
      <c r="K61">
        <v>1.01E-2</v>
      </c>
      <c r="L61" s="52">
        <v>2</v>
      </c>
    </row>
    <row r="62" spans="1:12" x14ac:dyDescent="0.25">
      <c r="A62" s="1" t="str">
        <f ca="1">HYPERLINK("[" &amp; SUBSTITUTE(LEFT(CELL("filename"),FIND("]",CELL("filename"))),"[","") &amp; "mmu05214!A1","mmu05214")</f>
        <v>mmu05214</v>
      </c>
      <c r="B62" s="1" t="str">
        <f ca="1">HYPERLINK("[" &amp; SUBSTITUTE(LEFT(CELL("filename"),FIND("]",CELL("filename"))),"[","") &amp; "mmu05214!A1","Glioma - Mus musculus (mouse)")</f>
        <v>Glioma - Mus musculus (mouse)</v>
      </c>
      <c r="C62">
        <v>21</v>
      </c>
      <c r="D62">
        <v>2.02</v>
      </c>
      <c r="E62">
        <v>4.15E-3</v>
      </c>
      <c r="F62" t="s">
        <v>1522</v>
      </c>
      <c r="G62" t="s">
        <v>1522</v>
      </c>
      <c r="H62" t="s">
        <v>1522</v>
      </c>
      <c r="I62">
        <v>14</v>
      </c>
      <c r="J62">
        <v>1.78</v>
      </c>
      <c r="K62">
        <v>5.7000000000000002E-2</v>
      </c>
      <c r="L62" s="52">
        <v>2</v>
      </c>
    </row>
    <row r="63" spans="1:12" x14ac:dyDescent="0.25">
      <c r="A63" s="1" t="str">
        <f ca="1">HYPERLINK("[" &amp; SUBSTITUTE(LEFT(CELL("filename"),FIND("]",CELL("filename"))),"[","") &amp; "mmu04620!A1","mmu04620")</f>
        <v>mmu04620</v>
      </c>
      <c r="B63" s="1" t="str">
        <f ca="1">HYPERLINK("[" &amp; SUBSTITUTE(LEFT(CELL("filename"),FIND("]",CELL("filename"))),"[","") &amp; "mmu04620!A1","Toll-like receptor signaling pathway - Mus musculus (mouse)")</f>
        <v>Toll-like receptor signaling pathway - Mus musculus (mouse)</v>
      </c>
      <c r="C63">
        <v>28</v>
      </c>
      <c r="D63">
        <v>1.75</v>
      </c>
      <c r="E63">
        <v>7.4099999999999999E-3</v>
      </c>
      <c r="F63" t="s">
        <v>1522</v>
      </c>
      <c r="G63" t="s">
        <v>1522</v>
      </c>
      <c r="H63" t="s">
        <v>1522</v>
      </c>
      <c r="I63">
        <v>24</v>
      </c>
      <c r="J63">
        <v>1.98</v>
      </c>
      <c r="K63">
        <v>3.8400000000000001E-3</v>
      </c>
      <c r="L63" s="52">
        <v>2</v>
      </c>
    </row>
    <row r="64" spans="1:12" x14ac:dyDescent="0.25">
      <c r="A64" s="1" t="str">
        <f ca="1">HYPERLINK("[" &amp; SUBSTITUTE(LEFT(CELL("filename"),FIND("]",CELL("filename"))),"[","") &amp; "mmu04630!A1","mmu04630")</f>
        <v>mmu04630</v>
      </c>
      <c r="B64" s="1" t="str">
        <f ca="1">HYPERLINK("[" &amp; SUBSTITUTE(LEFT(CELL("filename"),FIND("]",CELL("filename"))),"[","") &amp; "mmu04630!A1","Jak-STAT signaling pathway - Mus musculus (mouse)")</f>
        <v>Jak-STAT signaling pathway - Mus musculus (mouse)</v>
      </c>
      <c r="C64">
        <v>45</v>
      </c>
      <c r="D64">
        <v>1.8</v>
      </c>
      <c r="E64">
        <v>3.1399999999999999E-4</v>
      </c>
      <c r="F64" t="s">
        <v>1522</v>
      </c>
      <c r="G64" t="s">
        <v>1522</v>
      </c>
      <c r="H64" t="s">
        <v>1522</v>
      </c>
      <c r="I64">
        <v>36</v>
      </c>
      <c r="J64">
        <v>1.91</v>
      </c>
      <c r="K64">
        <v>6.4199999999999999E-4</v>
      </c>
      <c r="L64" s="52">
        <v>2</v>
      </c>
    </row>
    <row r="65" spans="1:12" x14ac:dyDescent="0.25">
      <c r="A65" s="1" t="str">
        <f ca="1">HYPERLINK("[" &amp; SUBSTITUTE(LEFT(CELL("filename"),FIND("]",CELL("filename"))),"[","") &amp; "mmu04210!A1","mmu04210")</f>
        <v>mmu04210</v>
      </c>
      <c r="B65" s="1" t="str">
        <f ca="1">HYPERLINK("[" &amp; SUBSTITUTE(LEFT(CELL("filename"),FIND("]",CELL("filename"))),"[","") &amp; "mmu04210!A1","Apoptosis - Mus musculus (mouse)")</f>
        <v>Apoptosis - Mus musculus (mouse)</v>
      </c>
      <c r="C65">
        <v>22</v>
      </c>
      <c r="D65">
        <v>1.63</v>
      </c>
      <c r="E65">
        <v>3.7699999999999997E-2</v>
      </c>
      <c r="F65" t="s">
        <v>1522</v>
      </c>
      <c r="G65" t="s">
        <v>1522</v>
      </c>
      <c r="H65" t="s">
        <v>1522</v>
      </c>
      <c r="I65">
        <v>21</v>
      </c>
      <c r="J65">
        <v>2.0699999999999998</v>
      </c>
      <c r="K65">
        <v>4.4600000000000004E-3</v>
      </c>
      <c r="L65" s="52">
        <v>2</v>
      </c>
    </row>
    <row r="66" spans="1:12" x14ac:dyDescent="0.25">
      <c r="A66" s="1" t="str">
        <f ca="1">HYPERLINK("[" &amp; SUBSTITUTE(LEFT(CELL("filename"),FIND("]",CELL("filename"))),"[","") &amp; "mmu04062!A1","mmu04062")</f>
        <v>mmu04062</v>
      </c>
      <c r="B66" s="1" t="str">
        <f ca="1">HYPERLINK("[" &amp; SUBSTITUTE(LEFT(CELL("filename"),FIND("]",CELL("filename"))),"[","") &amp; "mmu04062!A1","Chemokine signaling pathway - Mus musculus (mouse)")</f>
        <v>Chemokine signaling pathway - Mus musculus (mouse)</v>
      </c>
      <c r="C66" t="s">
        <v>1522</v>
      </c>
      <c r="D66" t="s">
        <v>1522</v>
      </c>
      <c r="E66" t="s">
        <v>1522</v>
      </c>
      <c r="F66">
        <v>32</v>
      </c>
      <c r="G66">
        <v>1.54</v>
      </c>
      <c r="H66">
        <v>5.4199999999999998E-2</v>
      </c>
      <c r="I66">
        <v>51</v>
      </c>
      <c r="J66">
        <v>2.14</v>
      </c>
      <c r="K66">
        <v>1.9999999999999999E-6</v>
      </c>
      <c r="L66" s="52">
        <v>2</v>
      </c>
    </row>
    <row r="67" spans="1:12" x14ac:dyDescent="0.25">
      <c r="A67" s="1" t="str">
        <f ca="1">HYPERLINK("[" &amp; SUBSTITUTE(LEFT(CELL("filename"),FIND("]",CELL("filename"))),"[","") &amp; "mmu05160!A1","mmu05160")</f>
        <v>mmu05160</v>
      </c>
      <c r="B67" s="1" t="str">
        <f ca="1">HYPERLINK("[" &amp; SUBSTITUTE(LEFT(CELL("filename"),FIND("]",CELL("filename"))),"[","") &amp; "mmu05160!A1","Hepatitis C - Mus musculus (mouse)")</f>
        <v>Hepatitis C - Mus musculus (mouse)</v>
      </c>
      <c r="C67">
        <v>36</v>
      </c>
      <c r="D67">
        <v>1.65</v>
      </c>
      <c r="E67">
        <v>5.5599999999999998E-3</v>
      </c>
      <c r="F67" t="s">
        <v>1522</v>
      </c>
      <c r="G67" t="s">
        <v>1522</v>
      </c>
      <c r="H67" t="s">
        <v>1522</v>
      </c>
      <c r="I67">
        <v>33</v>
      </c>
      <c r="J67">
        <v>2.0099999999999998</v>
      </c>
      <c r="K67">
        <v>4.6099999999999998E-4</v>
      </c>
      <c r="L67" s="52">
        <v>2</v>
      </c>
    </row>
    <row r="68" spans="1:12" x14ac:dyDescent="0.25">
      <c r="A68" s="1" t="str">
        <f ca="1">HYPERLINK("[" &amp; SUBSTITUTE(LEFT(CELL("filename"),FIND("]",CELL("filename"))),"[","") &amp; "mmu05212!A1","mmu05212")</f>
        <v>mmu05212</v>
      </c>
      <c r="B68" s="1" t="str">
        <f ca="1">HYPERLINK("[" &amp; SUBSTITUTE(LEFT(CELL("filename"),FIND("]",CELL("filename"))),"[","") &amp; "mmu05212!A1","Pancreatic cancer - Mus musculus (mouse)")</f>
        <v>Pancreatic cancer - Mus musculus (mouse)</v>
      </c>
      <c r="C68">
        <v>19</v>
      </c>
      <c r="D68">
        <v>1.67</v>
      </c>
      <c r="E68">
        <v>4.4900000000000002E-2</v>
      </c>
      <c r="F68" t="s">
        <v>1522</v>
      </c>
      <c r="G68" t="s">
        <v>1522</v>
      </c>
      <c r="H68" t="s">
        <v>1522</v>
      </c>
      <c r="I68">
        <v>16</v>
      </c>
      <c r="J68">
        <v>1.86</v>
      </c>
      <c r="K68">
        <v>3.1199999999999999E-2</v>
      </c>
      <c r="L68" s="52">
        <v>2</v>
      </c>
    </row>
    <row r="69" spans="1:12" x14ac:dyDescent="0.25">
      <c r="A69" s="1" t="str">
        <f ca="1">HYPERLINK("[" &amp; SUBSTITUTE(LEFT(CELL("filename"),FIND("]",CELL("filename"))),"[","") &amp; "mmu04510!A1","mmu04510")</f>
        <v>mmu04510</v>
      </c>
      <c r="B69" s="1" t="str">
        <f ca="1">HYPERLINK("[" &amp; SUBSTITUTE(LEFT(CELL("filename"),FIND("]",CELL("filename"))),"[","") &amp; "mmu04510!A1","Focal adhesion - Mus musculus (mouse)")</f>
        <v>Focal adhesion - Mus musculus (mouse)</v>
      </c>
      <c r="C69">
        <v>55</v>
      </c>
      <c r="D69">
        <v>1.67</v>
      </c>
      <c r="E69">
        <v>3.8400000000000001E-4</v>
      </c>
      <c r="F69" t="s">
        <v>1522</v>
      </c>
      <c r="G69" t="s">
        <v>1522</v>
      </c>
      <c r="H69" t="s">
        <v>1522</v>
      </c>
      <c r="I69">
        <v>46</v>
      </c>
      <c r="J69">
        <v>1.85</v>
      </c>
      <c r="K69">
        <v>1.9599999999999999E-4</v>
      </c>
      <c r="L69" s="52">
        <v>2</v>
      </c>
    </row>
    <row r="70" spans="1:12" x14ac:dyDescent="0.25">
      <c r="A70" s="1" t="str">
        <f ca="1">HYPERLINK("[" &amp; SUBSTITUTE(LEFT(CELL("filename"),FIND("]",CELL("filename"))),"[","") &amp; "mmu05166!A1","mmu05166")</f>
        <v>mmu05166</v>
      </c>
      <c r="B70" s="1" t="str">
        <f ca="1">HYPERLINK("[" &amp; SUBSTITUTE(LEFT(CELL("filename"),FIND("]",CELL("filename"))),"[","") &amp; "mmu05166!A1","HTLV-I infection - Mus musculus (mouse)")</f>
        <v>HTLV-I infection - Mus musculus (mouse)</v>
      </c>
      <c r="C70">
        <v>84</v>
      </c>
      <c r="D70">
        <v>1.85</v>
      </c>
      <c r="E70">
        <v>0</v>
      </c>
      <c r="F70" t="s">
        <v>1522</v>
      </c>
      <c r="G70" t="s">
        <v>1522</v>
      </c>
      <c r="H70" t="s">
        <v>1522</v>
      </c>
      <c r="I70">
        <v>57</v>
      </c>
      <c r="J70">
        <v>1.66</v>
      </c>
      <c r="K70">
        <v>4.6099999999999998E-4</v>
      </c>
      <c r="L70" s="52">
        <v>2</v>
      </c>
    </row>
    <row r="71" spans="1:12" x14ac:dyDescent="0.25">
      <c r="A71" s="1" t="str">
        <f ca="1">HYPERLINK("[" &amp; SUBSTITUTE(LEFT(CELL("filename"),FIND("]",CELL("filename"))),"[","") &amp; "mmu04972!A1","mmu04972")</f>
        <v>mmu04972</v>
      </c>
      <c r="B71" s="1" t="str">
        <f ca="1">HYPERLINK("[" &amp; SUBSTITUTE(LEFT(CELL("filename"),FIND("]",CELL("filename"))),"[","") &amp; "mmu04972!A1","Pancreatic secretion - Mus musculus (mouse)")</f>
        <v>Pancreatic secretion - Mus musculus (mouse)</v>
      </c>
      <c r="C71" t="s">
        <v>1522</v>
      </c>
      <c r="D71" t="s">
        <v>1522</v>
      </c>
      <c r="E71" t="s">
        <v>1522</v>
      </c>
      <c r="F71">
        <v>19</v>
      </c>
      <c r="G71">
        <v>1.74</v>
      </c>
      <c r="H71">
        <v>6.5100000000000005E-2</v>
      </c>
      <c r="I71">
        <v>22</v>
      </c>
      <c r="J71">
        <v>1.77</v>
      </c>
      <c r="K71">
        <v>1.9E-2</v>
      </c>
      <c r="L71" s="52">
        <v>2</v>
      </c>
    </row>
    <row r="72" spans="1:12" x14ac:dyDescent="0.25">
      <c r="A72" s="1" t="str">
        <f ca="1">HYPERLINK("[" &amp; SUBSTITUTE(LEFT(CELL("filename"),FIND("]",CELL("filename"))),"[","") &amp; "mmu05200!A1","mmu05200")</f>
        <v>mmu05200</v>
      </c>
      <c r="B72" s="1" t="str">
        <f ca="1">HYPERLINK("[" &amp; SUBSTITUTE(LEFT(CELL("filename"),FIND("]",CELL("filename"))),"[","") &amp; "mmu05200!A1","Pathways in cancer - Mus musculus (mouse)")</f>
        <v>Pathways in cancer - Mus musculus (mouse)</v>
      </c>
      <c r="C72">
        <v>89</v>
      </c>
      <c r="D72">
        <v>1.71</v>
      </c>
      <c r="E72">
        <v>3.0000000000000001E-6</v>
      </c>
      <c r="F72" t="s">
        <v>1522</v>
      </c>
      <c r="G72" t="s">
        <v>1522</v>
      </c>
      <c r="H72" t="s">
        <v>1522</v>
      </c>
      <c r="I72">
        <v>70</v>
      </c>
      <c r="J72">
        <v>1.78</v>
      </c>
      <c r="K72">
        <v>1.2E-5</v>
      </c>
      <c r="L72" s="52">
        <v>2</v>
      </c>
    </row>
    <row r="73" spans="1:12" x14ac:dyDescent="0.25">
      <c r="A73" s="1" t="str">
        <f ca="1">HYPERLINK("[" &amp; SUBSTITUTE(LEFT(CELL("filename"),FIND("]",CELL("filename"))),"[","") &amp; "mmu04713!A1","mmu04713")</f>
        <v>mmu04713</v>
      </c>
      <c r="B73" s="1" t="str">
        <f ca="1">HYPERLINK("[" &amp; SUBSTITUTE(LEFT(CELL("filename"),FIND("]",CELL("filename"))),"[","") &amp; "mmu04713!A1","Circadian entrainment - Mus musculus (mouse)")</f>
        <v>Circadian entrainment - Mus musculus (mouse)</v>
      </c>
      <c r="C73">
        <v>24</v>
      </c>
      <c r="D73">
        <v>1.54</v>
      </c>
      <c r="E73">
        <v>5.04E-2</v>
      </c>
      <c r="F73" t="s">
        <v>1522</v>
      </c>
      <c r="G73" t="s">
        <v>1522</v>
      </c>
      <c r="H73" t="s">
        <v>1522</v>
      </c>
      <c r="I73">
        <v>22</v>
      </c>
      <c r="J73">
        <v>1.87</v>
      </c>
      <c r="K73">
        <v>1.04E-2</v>
      </c>
      <c r="L73" s="52">
        <v>2</v>
      </c>
    </row>
    <row r="74" spans="1:12" x14ac:dyDescent="0.25">
      <c r="A74" s="1" t="str">
        <f ca="1">HYPERLINK("[" &amp; SUBSTITUTE(LEFT(CELL("filename"),FIND("]",CELL("filename"))),"[","") &amp; "mmu04012!A1","mmu04012")</f>
        <v>mmu04012</v>
      </c>
      <c r="B74" s="1" t="str">
        <f ca="1">HYPERLINK("[" &amp; SUBSTITUTE(LEFT(CELL("filename"),FIND("]",CELL("filename"))),"[","") &amp; "mmu04012!A1","ErbB signaling pathway - Mus musculus (mouse)")</f>
        <v>ErbB signaling pathway - Mus musculus (mouse)</v>
      </c>
      <c r="C74">
        <v>25</v>
      </c>
      <c r="D74">
        <v>1.79</v>
      </c>
      <c r="E74">
        <v>8.5599999999999999E-3</v>
      </c>
      <c r="F74" t="s">
        <v>1522</v>
      </c>
      <c r="G74" t="s">
        <v>1522</v>
      </c>
      <c r="H74" t="s">
        <v>1522</v>
      </c>
      <c r="I74">
        <v>17</v>
      </c>
      <c r="J74">
        <v>1.61</v>
      </c>
      <c r="K74">
        <v>7.2599999999999998E-2</v>
      </c>
      <c r="L74" s="52">
        <v>2</v>
      </c>
    </row>
    <row r="75" spans="1:12" x14ac:dyDescent="0.25">
      <c r="A75" s="1" t="str">
        <f ca="1">HYPERLINK("[" &amp; SUBSTITUTE(LEFT(CELL("filename"),FIND("]",CELL("filename"))),"[","") &amp; "mmu05031!A1","mmu05031")</f>
        <v>mmu05031</v>
      </c>
      <c r="B75" s="1" t="str">
        <f ca="1">HYPERLINK("[" &amp; SUBSTITUTE(LEFT(CELL("filename"),FIND("]",CELL("filename"))),"[","") &amp; "mmu05031!A1","Amphetamine addiction - Mus musculus (mouse)")</f>
        <v>Amphetamine addiction - Mus musculus (mouse)</v>
      </c>
      <c r="C75">
        <v>19</v>
      </c>
      <c r="D75">
        <v>1.72</v>
      </c>
      <c r="E75">
        <v>3.5499999999999997E-2</v>
      </c>
      <c r="F75" t="s">
        <v>1522</v>
      </c>
      <c r="G75" t="s">
        <v>1522</v>
      </c>
      <c r="H75" t="s">
        <v>1522</v>
      </c>
      <c r="I75">
        <v>14</v>
      </c>
      <c r="J75">
        <v>1.68</v>
      </c>
      <c r="K75">
        <v>8.0299999999999996E-2</v>
      </c>
      <c r="L75" s="52">
        <v>2</v>
      </c>
    </row>
    <row r="76" spans="1:12" x14ac:dyDescent="0.25">
      <c r="A76" s="1" t="str">
        <f ca="1">HYPERLINK("[" &amp; SUBSTITUTE(LEFT(CELL("filename"),FIND("]",CELL("filename"))),"[","") &amp; "mmu05168!A1","mmu05168")</f>
        <v>mmu05168</v>
      </c>
      <c r="B76" s="1" t="str">
        <f ca="1">HYPERLINK("[" &amp; SUBSTITUTE(LEFT(CELL("filename"),FIND("]",CELL("filename"))),"[","") &amp; "mmu05168!A1","Herpes simplex infection - Mus musculus (mouse)")</f>
        <v>Herpes simplex infection - Mus musculus (mouse)</v>
      </c>
      <c r="C76">
        <v>51</v>
      </c>
      <c r="D76">
        <v>1.56</v>
      </c>
      <c r="E76">
        <v>2.8600000000000001E-3</v>
      </c>
      <c r="F76" t="s">
        <v>1522</v>
      </c>
      <c r="G76" t="s">
        <v>1522</v>
      </c>
      <c r="H76" t="s">
        <v>1522</v>
      </c>
      <c r="I76">
        <v>45</v>
      </c>
      <c r="J76">
        <v>1.82</v>
      </c>
      <c r="K76">
        <v>3.2499999999999999E-4</v>
      </c>
      <c r="L76" s="52">
        <v>2</v>
      </c>
    </row>
    <row r="77" spans="1:12" x14ac:dyDescent="0.25">
      <c r="A77" s="1" t="str">
        <f ca="1">HYPERLINK("[" &amp; SUBSTITUTE(LEFT(CELL("filename"),FIND("]",CELL("filename"))),"[","") &amp; "mmu04920!A1","mmu04920")</f>
        <v>mmu04920</v>
      </c>
      <c r="B77" s="1" t="str">
        <f ca="1">HYPERLINK("[" &amp; SUBSTITUTE(LEFT(CELL("filename"),FIND("]",CELL("filename"))),"[","") &amp; "mmu04920!A1","Adipocytokine signaling pathway - Mus musculus (mouse)")</f>
        <v>Adipocytokine signaling pathway - Mus musculus (mouse)</v>
      </c>
      <c r="C77">
        <v>19</v>
      </c>
      <c r="D77">
        <v>1.69</v>
      </c>
      <c r="E77">
        <v>0.04</v>
      </c>
      <c r="F77" t="s">
        <v>1522</v>
      </c>
      <c r="G77" t="s">
        <v>1522</v>
      </c>
      <c r="H77" t="s">
        <v>1522</v>
      </c>
      <c r="I77">
        <v>14</v>
      </c>
      <c r="J77">
        <v>1.65</v>
      </c>
      <c r="K77">
        <v>8.5500000000000007E-2</v>
      </c>
      <c r="L77" s="52">
        <v>2</v>
      </c>
    </row>
    <row r="78" spans="1:12" x14ac:dyDescent="0.25">
      <c r="A78" s="1" t="str">
        <f ca="1">HYPERLINK("[" &amp; SUBSTITUTE(LEFT(CELL("filename"),FIND("]",CELL("filename"))),"[","") &amp; "mmu04720!A1","mmu04720")</f>
        <v>mmu04720</v>
      </c>
      <c r="B78" s="1" t="str">
        <f ca="1">HYPERLINK("[" &amp; SUBSTITUTE(LEFT(CELL("filename"),FIND("]",CELL("filename"))),"[","") &amp; "mmu04720!A1","Long-term potentiation - Mus musculus (mouse)")</f>
        <v>Long-term potentiation - Mus musculus (mouse)</v>
      </c>
      <c r="C78">
        <v>18</v>
      </c>
      <c r="D78">
        <v>1.63</v>
      </c>
      <c r="E78">
        <v>6.0600000000000001E-2</v>
      </c>
      <c r="F78" t="s">
        <v>1522</v>
      </c>
      <c r="G78" t="s">
        <v>1522</v>
      </c>
      <c r="H78" t="s">
        <v>1522</v>
      </c>
      <c r="I78">
        <v>14</v>
      </c>
      <c r="J78">
        <v>1.68</v>
      </c>
      <c r="K78">
        <v>8.0299999999999996E-2</v>
      </c>
      <c r="L78" s="52">
        <v>2</v>
      </c>
    </row>
    <row r="79" spans="1:12" x14ac:dyDescent="0.25">
      <c r="A79" s="1" t="str">
        <f ca="1">HYPERLINK("[" &amp; SUBSTITUTE(LEFT(CELL("filename"),FIND("]",CELL("filename"))),"[","") &amp; "mmu04650!A1","mmu04650")</f>
        <v>mmu04650</v>
      </c>
      <c r="B79" s="1" t="str">
        <f ca="1">HYPERLINK("[" &amp; SUBSTITUTE(LEFT(CELL("filename"),FIND("]",CELL("filename"))),"[","") &amp; "mmu04650!A1","Natural killer cell mediated cytotoxicity - Mus musculus (mouse)")</f>
        <v>Natural killer cell mediated cytotoxicity - Mus musculus (mouse)</v>
      </c>
      <c r="C79" t="s">
        <v>1522</v>
      </c>
      <c r="D79" t="s">
        <v>1522</v>
      </c>
      <c r="E79" t="s">
        <v>1522</v>
      </c>
      <c r="F79">
        <v>27</v>
      </c>
      <c r="G79">
        <v>1.73</v>
      </c>
      <c r="H79">
        <v>2.53E-2</v>
      </c>
      <c r="I79">
        <v>28</v>
      </c>
      <c r="J79">
        <v>1.56</v>
      </c>
      <c r="K79">
        <v>3.2800000000000003E-2</v>
      </c>
      <c r="L79" s="52">
        <v>2</v>
      </c>
    </row>
    <row r="80" spans="1:12" x14ac:dyDescent="0.25">
      <c r="A80" s="1" t="str">
        <f ca="1">HYPERLINK("[" &amp; SUBSTITUTE(LEFT(CELL("filename"),FIND("]",CELL("filename"))),"[","") &amp; "mmu05161!A1","mmu05161")</f>
        <v>mmu05161</v>
      </c>
      <c r="B80" s="1" t="str">
        <f ca="1">HYPERLINK("[" &amp; SUBSTITUTE(LEFT(CELL("filename"),FIND("]",CELL("filename"))),"[","") &amp; "mmu05161!A1","Hepatitis B - Mus musculus (mouse)")</f>
        <v>Hepatitis B - Mus musculus (mouse)</v>
      </c>
      <c r="C80">
        <v>37</v>
      </c>
      <c r="D80">
        <v>1.55</v>
      </c>
      <c r="E80">
        <v>1.34E-2</v>
      </c>
      <c r="F80" t="s">
        <v>1522</v>
      </c>
      <c r="G80" t="s">
        <v>1522</v>
      </c>
      <c r="H80" t="s">
        <v>1522</v>
      </c>
      <c r="I80">
        <v>31</v>
      </c>
      <c r="J80">
        <v>1.72</v>
      </c>
      <c r="K80">
        <v>7.3800000000000003E-3</v>
      </c>
      <c r="L80" s="52">
        <v>2</v>
      </c>
    </row>
    <row r="81" spans="1:12" x14ac:dyDescent="0.25">
      <c r="A81" s="1" t="str">
        <f ca="1">HYPERLINK("[" &amp; SUBSTITUTE(LEFT(CELL("filename"),FIND("]",CELL("filename"))),"[","") &amp; "mmu04020!A1","mmu04020")</f>
        <v>mmu04020</v>
      </c>
      <c r="B81" s="1" t="str">
        <f ca="1">HYPERLINK("[" &amp; SUBSTITUTE(LEFT(CELL("filename"),FIND("]",CELL("filename"))),"[","") &amp; "mmu04020!A1","Calcium signaling pathway - Mus musculus (mouse)")</f>
        <v>Calcium signaling pathway - Mus musculus (mouse)</v>
      </c>
      <c r="C81" t="s">
        <v>1522</v>
      </c>
      <c r="D81" t="s">
        <v>1522</v>
      </c>
      <c r="E81" t="s">
        <v>1522</v>
      </c>
      <c r="F81">
        <v>29</v>
      </c>
      <c r="G81">
        <v>1.5</v>
      </c>
      <c r="H81">
        <v>8.0799999999999997E-2</v>
      </c>
      <c r="I81">
        <v>38</v>
      </c>
      <c r="J81">
        <v>1.72</v>
      </c>
      <c r="K81">
        <v>3.2200000000000002E-3</v>
      </c>
      <c r="L81" s="52">
        <v>2</v>
      </c>
    </row>
    <row r="82" spans="1:12" x14ac:dyDescent="0.25">
      <c r="A82" s="1" t="str">
        <f ca="1">HYPERLINK("[" &amp; SUBSTITUTE(LEFT(CELL("filename"),FIND("]",CELL("filename"))),"[","") &amp; "mmu04010!A1","mmu04010")</f>
        <v>mmu04010</v>
      </c>
      <c r="B82" s="1" t="str">
        <f ca="1">HYPERLINK("[" &amp; SUBSTITUTE(LEFT(CELL("filename"),FIND("]",CELL("filename"))),"[","") &amp; "mmu04010!A1","MAPK signaling pathway - Mus musculus (mouse)")</f>
        <v>MAPK signaling pathway - Mus musculus (mouse)</v>
      </c>
      <c r="C82">
        <v>65</v>
      </c>
      <c r="D82">
        <v>1.58</v>
      </c>
      <c r="E82">
        <v>5.3399999999999997E-4</v>
      </c>
      <c r="F82" t="s">
        <v>1522</v>
      </c>
      <c r="G82" t="s">
        <v>1522</v>
      </c>
      <c r="H82" t="s">
        <v>1522</v>
      </c>
      <c r="I82">
        <v>50</v>
      </c>
      <c r="J82">
        <v>1.61</v>
      </c>
      <c r="K82">
        <v>2.6700000000000001E-3</v>
      </c>
      <c r="L82" s="52">
        <v>2</v>
      </c>
    </row>
    <row r="83" spans="1:12" x14ac:dyDescent="0.25">
      <c r="A83" s="1" t="str">
        <f ca="1">HYPERLINK("[" &amp; SUBSTITUTE(LEFT(CELL("filename"),FIND("]",CELL("filename"))),"[","") &amp; "mmu00460!A1","mmu00460")</f>
        <v>mmu00460</v>
      </c>
      <c r="B83" s="1" t="str">
        <f ca="1">HYPERLINK("[" &amp; SUBSTITUTE(LEFT(CELL("filename"),FIND("]",CELL("filename"))),"[","") &amp; "mmu00460!A1","Cyanoamino acid metabolism - Mus musculus (mouse)")</f>
        <v>Cyanoamino acid metabolism - Mus musculus (mouse)</v>
      </c>
      <c r="C83" t="s">
        <v>1522</v>
      </c>
      <c r="D83" t="s">
        <v>1522</v>
      </c>
      <c r="E83" t="s">
        <v>1522</v>
      </c>
      <c r="F83">
        <v>3</v>
      </c>
      <c r="G83">
        <v>4.7300000000000004</v>
      </c>
      <c r="H83">
        <v>8.8099999999999998E-2</v>
      </c>
      <c r="I83" t="s">
        <v>1522</v>
      </c>
      <c r="J83" t="s">
        <v>1522</v>
      </c>
      <c r="K83" t="s">
        <v>1522</v>
      </c>
      <c r="L83" s="52">
        <v>1</v>
      </c>
    </row>
    <row r="84" spans="1:12" x14ac:dyDescent="0.25">
      <c r="A84" s="1" t="str">
        <f ca="1">HYPERLINK("[" &amp; SUBSTITUTE(LEFT(CELL("filename"),FIND("]",CELL("filename"))),"[","") &amp; "mmu00750!A1","mmu00750")</f>
        <v>mmu00750</v>
      </c>
      <c r="B84" s="1" t="str">
        <f ca="1">HYPERLINK("[" &amp; SUBSTITUTE(LEFT(CELL("filename"),FIND("]",CELL("filename"))),"[","") &amp; "mmu00750!A1","Vitamin B6 metabolism - Mus musculus (mouse)")</f>
        <v>Vitamin B6 metabolism - Mus musculus (mouse)</v>
      </c>
      <c r="C84" t="s">
        <v>1522</v>
      </c>
      <c r="D84" t="s">
        <v>1522</v>
      </c>
      <c r="E84" t="s">
        <v>1522</v>
      </c>
      <c r="F84">
        <v>4</v>
      </c>
      <c r="G84">
        <v>3.78</v>
      </c>
      <c r="H84">
        <v>7.7200000000000005E-2</v>
      </c>
      <c r="I84" t="s">
        <v>1522</v>
      </c>
      <c r="J84" t="s">
        <v>1522</v>
      </c>
      <c r="K84" t="s">
        <v>1522</v>
      </c>
      <c r="L84" s="52">
        <v>1</v>
      </c>
    </row>
    <row r="85" spans="1:12" x14ac:dyDescent="0.25">
      <c r="A85" s="1" t="str">
        <f ca="1">HYPERLINK("[" &amp; SUBSTITUTE(LEFT(CELL("filename"),FIND("]",CELL("filename"))),"[","") &amp; "mmu05143!A1","mmu05143")</f>
        <v>mmu05143</v>
      </c>
      <c r="B85" s="1" t="str">
        <f ca="1">HYPERLINK("[" &amp; SUBSTITUTE(LEFT(CELL("filename"),FIND("]",CELL("filename"))),"[","") &amp; "mmu05143!A1","African trypanosomiasis - Mus musculus (mouse)")</f>
        <v>African trypanosomiasis - Mus musculus (mouse)</v>
      </c>
      <c r="C85" t="s">
        <v>1522</v>
      </c>
      <c r="D85" t="s">
        <v>1522</v>
      </c>
      <c r="E85" t="s">
        <v>1522</v>
      </c>
      <c r="F85" t="s">
        <v>1522</v>
      </c>
      <c r="G85" t="s">
        <v>1522</v>
      </c>
      <c r="H85" t="s">
        <v>1522</v>
      </c>
      <c r="I85">
        <v>12</v>
      </c>
      <c r="J85">
        <v>2.92</v>
      </c>
      <c r="K85">
        <v>2.6700000000000001E-3</v>
      </c>
      <c r="L85" s="52">
        <v>1</v>
      </c>
    </row>
    <row r="86" spans="1:12" x14ac:dyDescent="0.25">
      <c r="A86" s="1" t="str">
        <f ca="1">HYPERLINK("[" &amp; SUBSTITUTE(LEFT(CELL("filename"),FIND("]",CELL("filename"))),"[","") &amp; "mmu00360!A1","mmu00360")</f>
        <v>mmu00360</v>
      </c>
      <c r="B86" s="1" t="str">
        <f ca="1">HYPERLINK("[" &amp; SUBSTITUTE(LEFT(CELL("filename"),FIND("]",CELL("filename"))),"[","") &amp; "mmu00360!A1","Phenylalanine metabolism - Mus musculus (mouse)")</f>
        <v>Phenylalanine metabolism - Mus musculus (mouse)</v>
      </c>
      <c r="C86" t="s">
        <v>1522</v>
      </c>
      <c r="D86" t="s">
        <v>1522</v>
      </c>
      <c r="E86" t="s">
        <v>1522</v>
      </c>
      <c r="F86" t="s">
        <v>1522</v>
      </c>
      <c r="G86" t="s">
        <v>1522</v>
      </c>
      <c r="H86" t="s">
        <v>1522</v>
      </c>
      <c r="I86">
        <v>7</v>
      </c>
      <c r="J86">
        <v>2.63</v>
      </c>
      <c r="K86">
        <v>3.7900000000000003E-2</v>
      </c>
      <c r="L86" s="52">
        <v>1</v>
      </c>
    </row>
    <row r="87" spans="1:12" x14ac:dyDescent="0.25">
      <c r="A87" s="1" t="str">
        <f ca="1">HYPERLINK("[" &amp; SUBSTITUTE(LEFT(CELL("filename"),FIND("]",CELL("filename"))),"[","") &amp; "mmu00620!A1","mmu00620")</f>
        <v>mmu00620</v>
      </c>
      <c r="B87" s="1" t="str">
        <f ca="1">HYPERLINK("[" &amp; SUBSTITUTE(LEFT(CELL("filename"),FIND("]",CELL("filename"))),"[","") &amp; "mmu00620!A1","Pyruvate metabolism - Mus musculus (mouse)")</f>
        <v>Pyruvate metabolism - Mus musculus (mouse)</v>
      </c>
      <c r="C87" t="s">
        <v>1522</v>
      </c>
      <c r="D87" t="s">
        <v>1522</v>
      </c>
      <c r="E87" t="s">
        <v>1522</v>
      </c>
      <c r="F87" t="s">
        <v>1522</v>
      </c>
      <c r="G87" t="s">
        <v>1522</v>
      </c>
      <c r="H87" t="s">
        <v>1522</v>
      </c>
      <c r="I87">
        <v>13</v>
      </c>
      <c r="J87">
        <v>2.56</v>
      </c>
      <c r="K87">
        <v>5.1599999999999997E-3</v>
      </c>
      <c r="L87" s="52">
        <v>1</v>
      </c>
    </row>
    <row r="88" spans="1:12" x14ac:dyDescent="0.25">
      <c r="A88" s="1" t="str">
        <f ca="1">HYPERLINK("[" &amp; SUBSTITUTE(LEFT(CELL("filename"),FIND("]",CELL("filename"))),"[","") &amp; "mmu00052!A1","mmu00052")</f>
        <v>mmu00052</v>
      </c>
      <c r="B88" s="1" t="str">
        <f ca="1">HYPERLINK("[" &amp; SUBSTITUTE(LEFT(CELL("filename"),FIND("]",CELL("filename"))),"[","") &amp; "mmu00052!A1","Galactose metabolism - Mus musculus (mouse)")</f>
        <v>Galactose metabolism - Mus musculus (mouse)</v>
      </c>
      <c r="C88" t="s">
        <v>1522</v>
      </c>
      <c r="D88" t="s">
        <v>1522</v>
      </c>
      <c r="E88" t="s">
        <v>1522</v>
      </c>
      <c r="F88">
        <v>8</v>
      </c>
      <c r="G88">
        <v>2.44</v>
      </c>
      <c r="H88">
        <v>7.1599999999999997E-2</v>
      </c>
      <c r="I88" t="s">
        <v>1522</v>
      </c>
      <c r="J88" t="s">
        <v>1522</v>
      </c>
      <c r="K88" t="s">
        <v>1522</v>
      </c>
      <c r="L88" s="52">
        <v>1</v>
      </c>
    </row>
    <row r="89" spans="1:12" x14ac:dyDescent="0.25">
      <c r="A89" s="1" t="str">
        <f ca="1">HYPERLINK("[" &amp; SUBSTITUTE(LEFT(CELL("filename"),FIND("]",CELL("filename"))),"[","") &amp; "mmu00410!A1","mmu00410")</f>
        <v>mmu00410</v>
      </c>
      <c r="B89" s="1" t="str">
        <f ca="1">HYPERLINK("[" &amp; SUBSTITUTE(LEFT(CELL("filename"),FIND("]",CELL("filename"))),"[","") &amp; "mmu00410!A1","beta-Alanine metabolism - Mus musculus (mouse)")</f>
        <v>beta-Alanine metabolism - Mus musculus (mouse)</v>
      </c>
      <c r="C89" t="s">
        <v>1522</v>
      </c>
      <c r="D89" t="s">
        <v>1522</v>
      </c>
      <c r="E89" t="s">
        <v>1522</v>
      </c>
      <c r="F89">
        <v>8</v>
      </c>
      <c r="G89">
        <v>2.44</v>
      </c>
      <c r="H89">
        <v>7.1599999999999997E-2</v>
      </c>
      <c r="I89" t="s">
        <v>1522</v>
      </c>
      <c r="J89" t="s">
        <v>1522</v>
      </c>
      <c r="K89" t="s">
        <v>1522</v>
      </c>
      <c r="L89" s="52">
        <v>1</v>
      </c>
    </row>
    <row r="90" spans="1:12" x14ac:dyDescent="0.25">
      <c r="A90" s="1" t="str">
        <f ca="1">HYPERLINK("[" &amp; SUBSTITUTE(LEFT(CELL("filename"),FIND("]",CELL("filename"))),"[","") &amp; "mmu00480!A1","mmu00480")</f>
        <v>mmu00480</v>
      </c>
      <c r="B90" s="1" t="str">
        <f ca="1">HYPERLINK("[" &amp; SUBSTITUTE(LEFT(CELL("filename"),FIND("]",CELL("filename"))),"[","") &amp; "mmu00480!A1","Glutathione metabolism - Mus musculus (mouse)")</f>
        <v>Glutathione metabolism - Mus musculus (mouse)</v>
      </c>
      <c r="C90" t="s">
        <v>1522</v>
      </c>
      <c r="D90" t="s">
        <v>1522</v>
      </c>
      <c r="E90" t="s">
        <v>1522</v>
      </c>
      <c r="F90">
        <v>13</v>
      </c>
      <c r="G90">
        <v>2.41</v>
      </c>
      <c r="H90">
        <v>1.7999999999999999E-2</v>
      </c>
      <c r="I90" t="s">
        <v>1522</v>
      </c>
      <c r="J90" t="s">
        <v>1522</v>
      </c>
      <c r="K90" t="s">
        <v>1522</v>
      </c>
      <c r="L90" s="52">
        <v>1</v>
      </c>
    </row>
    <row r="91" spans="1:12" x14ac:dyDescent="0.25">
      <c r="A91" s="1" t="str">
        <f ca="1">HYPERLINK("[" &amp; SUBSTITUTE(LEFT(CELL("filename"),FIND("]",CELL("filename"))),"[","") &amp; "mmu00900!A1","mmu00900")</f>
        <v>mmu00900</v>
      </c>
      <c r="B91" s="1" t="str">
        <f ca="1">HYPERLINK("[" &amp; SUBSTITUTE(LEFT(CELL("filename"),FIND("]",CELL("filename"))),"[","") &amp; "mmu00900!A1","Terpenoid backbone biosynthesis - Mus musculus (mouse)")</f>
        <v>Terpenoid backbone biosynthesis - Mus musculus (mouse)</v>
      </c>
      <c r="C91" t="s">
        <v>1522</v>
      </c>
      <c r="D91" t="s">
        <v>1522</v>
      </c>
      <c r="E91" t="s">
        <v>1522</v>
      </c>
      <c r="F91" t="s">
        <v>1522</v>
      </c>
      <c r="G91" t="s">
        <v>1522</v>
      </c>
      <c r="H91" t="s">
        <v>1522</v>
      </c>
      <c r="I91">
        <v>6</v>
      </c>
      <c r="J91">
        <v>2.36</v>
      </c>
      <c r="K91">
        <v>8.0100000000000005E-2</v>
      </c>
      <c r="L91" s="52">
        <v>1</v>
      </c>
    </row>
    <row r="92" spans="1:12" x14ac:dyDescent="0.25">
      <c r="A92" s="1" t="str">
        <f ca="1">HYPERLINK("[" &amp; SUBSTITUTE(LEFT(CELL("filename"),FIND("]",CELL("filename"))),"[","") &amp; "mmu04320!A1","mmu04320")</f>
        <v>mmu04320</v>
      </c>
      <c r="B92" s="1" t="str">
        <f ca="1">HYPERLINK("[" &amp; SUBSTITUTE(LEFT(CELL("filename"),FIND("]",CELL("filename"))),"[","") &amp; "mmu04320!A1","Dorso-ventral axis formation - Mus musculus (mouse)")</f>
        <v>Dorso-ventral axis formation - Mus musculus (mouse)</v>
      </c>
      <c r="C92">
        <v>8</v>
      </c>
      <c r="D92">
        <v>2.27</v>
      </c>
      <c r="E92">
        <v>4.99E-2</v>
      </c>
      <c r="F92" t="s">
        <v>1522</v>
      </c>
      <c r="G92" t="s">
        <v>1522</v>
      </c>
      <c r="H92" t="s">
        <v>1522</v>
      </c>
      <c r="I92" t="s">
        <v>1522</v>
      </c>
      <c r="J92" t="s">
        <v>1522</v>
      </c>
      <c r="K92" t="s">
        <v>1522</v>
      </c>
      <c r="L92" s="52">
        <v>1</v>
      </c>
    </row>
    <row r="93" spans="1:12" x14ac:dyDescent="0.25">
      <c r="A93" s="1" t="str">
        <f ca="1">HYPERLINK("[" &amp; SUBSTITUTE(LEFT(CELL("filename"),FIND("]",CELL("filename"))),"[","") &amp; "mmu00630!A1","mmu00630")</f>
        <v>mmu00630</v>
      </c>
      <c r="B93" s="1" t="str">
        <f ca="1">HYPERLINK("[" &amp; SUBSTITUTE(LEFT(CELL("filename"),FIND("]",CELL("filename"))),"[","") &amp; "mmu00630!A1","Glyoxylate and dicarboxylate metabolism - Mus musculus (mouse)")</f>
        <v>Glyoxylate and dicarboxylate metabolism - Mus musculus (mouse)</v>
      </c>
      <c r="C93" t="s">
        <v>1522</v>
      </c>
      <c r="D93" t="s">
        <v>1522</v>
      </c>
      <c r="E93" t="s">
        <v>1522</v>
      </c>
      <c r="F93" t="s">
        <v>1522</v>
      </c>
      <c r="G93" t="s">
        <v>1522</v>
      </c>
      <c r="H93" t="s">
        <v>1522</v>
      </c>
      <c r="I93">
        <v>7</v>
      </c>
      <c r="J93">
        <v>2.2200000000000002</v>
      </c>
      <c r="K93">
        <v>7.4399999999999994E-2</v>
      </c>
      <c r="L93" s="52">
        <v>1</v>
      </c>
    </row>
    <row r="94" spans="1:12" x14ac:dyDescent="0.25">
      <c r="A94" s="1" t="str">
        <f ca="1">HYPERLINK("[" &amp; SUBSTITUTE(LEFT(CELL("filename"),FIND("]",CELL("filename"))),"[","") &amp; "mmu00600!A1","mmu00600")</f>
        <v>mmu00600</v>
      </c>
      <c r="B94" s="1" t="str">
        <f ca="1">HYPERLINK("[" &amp; SUBSTITUTE(LEFT(CELL("filename"),FIND("]",CELL("filename"))),"[","") &amp; "mmu00600!A1","Sphingolipid metabolism - Mus musculus (mouse)")</f>
        <v>Sphingolipid metabolism - Mus musculus (mouse)</v>
      </c>
      <c r="C94" t="s">
        <v>1522</v>
      </c>
      <c r="D94" t="s">
        <v>1522</v>
      </c>
      <c r="E94" t="s">
        <v>1522</v>
      </c>
      <c r="F94">
        <v>11</v>
      </c>
      <c r="G94">
        <v>2.21</v>
      </c>
      <c r="H94">
        <v>5.4199999999999998E-2</v>
      </c>
      <c r="I94" t="s">
        <v>1522</v>
      </c>
      <c r="J94" t="s">
        <v>1522</v>
      </c>
      <c r="K94" t="s">
        <v>1522</v>
      </c>
      <c r="L94" s="52">
        <v>1</v>
      </c>
    </row>
    <row r="95" spans="1:12" x14ac:dyDescent="0.25">
      <c r="A95" s="1" t="str">
        <f ca="1">HYPERLINK("[" &amp; SUBSTITUTE(LEFT(CELL("filename"),FIND("]",CELL("filename"))),"[","") &amp; "mmu04964!A1","mmu04964")</f>
        <v>mmu04964</v>
      </c>
      <c r="B95" s="1" t="str">
        <f ca="1">HYPERLINK("[" &amp; SUBSTITUTE(LEFT(CELL("filename"),FIND("]",CELL("filename"))),"[","") &amp; "mmu04964!A1","Proximal tubule bicarbonate reclamation - Mus musculus (mouse)")</f>
        <v>Proximal tubule bicarbonate reclamation - Mus musculus (mouse)</v>
      </c>
      <c r="C95">
        <v>7</v>
      </c>
      <c r="D95">
        <v>2.1800000000000002</v>
      </c>
      <c r="E95">
        <v>7.6300000000000007E-2</v>
      </c>
      <c r="F95" t="s">
        <v>1522</v>
      </c>
      <c r="G95" t="s">
        <v>1522</v>
      </c>
      <c r="H95" t="s">
        <v>1522</v>
      </c>
      <c r="I95" t="s">
        <v>1522</v>
      </c>
      <c r="J95" t="s">
        <v>1522</v>
      </c>
      <c r="K95" t="s">
        <v>1522</v>
      </c>
      <c r="L95" s="52">
        <v>1</v>
      </c>
    </row>
    <row r="96" spans="1:12" x14ac:dyDescent="0.25">
      <c r="A96" s="1" t="str">
        <f ca="1">HYPERLINK("[" &amp; SUBSTITUTE(LEFT(CELL("filename"),FIND("]",CELL("filename"))),"[","") &amp; "mmu00062!A1","mmu00062")</f>
        <v>mmu00062</v>
      </c>
      <c r="B96" s="1" t="str">
        <f ca="1">HYPERLINK("[" &amp; SUBSTITUTE(LEFT(CELL("filename"),FIND("]",CELL("filename"))),"[","") &amp; "mmu00062!A1","Fatty acid elongation - Mus musculus (mouse)")</f>
        <v>Fatty acid elongation - Mus musculus (mouse)</v>
      </c>
      <c r="C96">
        <v>8</v>
      </c>
      <c r="D96">
        <v>2.08</v>
      </c>
      <c r="E96">
        <v>7.3499999999999996E-2</v>
      </c>
      <c r="F96" t="s">
        <v>1522</v>
      </c>
      <c r="G96" t="s">
        <v>1522</v>
      </c>
      <c r="H96" t="s">
        <v>1522</v>
      </c>
      <c r="I96" t="s">
        <v>1522</v>
      </c>
      <c r="J96" t="s">
        <v>1522</v>
      </c>
      <c r="K96" t="s">
        <v>1522</v>
      </c>
      <c r="L96" s="52">
        <v>1</v>
      </c>
    </row>
    <row r="97" spans="1:12" x14ac:dyDescent="0.25">
      <c r="A97" s="1" t="str">
        <f ca="1">HYPERLINK("[" &amp; SUBSTITUTE(LEFT(CELL("filename"),FIND("]",CELL("filename"))),"[","") &amp; "mmu00565!A1","mmu00565")</f>
        <v>mmu00565</v>
      </c>
      <c r="B97" s="1" t="str">
        <f ca="1">HYPERLINK("[" &amp; SUBSTITUTE(LEFT(CELL("filename"),FIND("]",CELL("filename"))),"[","") &amp; "mmu00565!A1","Ether lipid metabolism - Mus musculus (mouse)")</f>
        <v>Ether lipid metabolism - Mus musculus (mouse)</v>
      </c>
      <c r="C97" t="s">
        <v>1522</v>
      </c>
      <c r="D97" t="s">
        <v>1522</v>
      </c>
      <c r="E97" t="s">
        <v>1522</v>
      </c>
      <c r="F97" t="s">
        <v>1522</v>
      </c>
      <c r="G97" t="s">
        <v>1522</v>
      </c>
      <c r="H97" t="s">
        <v>1522</v>
      </c>
      <c r="I97">
        <v>9</v>
      </c>
      <c r="J97">
        <v>2.0099999999999998</v>
      </c>
      <c r="K97">
        <v>7.1199999999999999E-2</v>
      </c>
      <c r="L97" s="52">
        <v>1</v>
      </c>
    </row>
    <row r="98" spans="1:12" x14ac:dyDescent="0.25">
      <c r="A98" s="1" t="str">
        <f ca="1">HYPERLINK("[" &amp; SUBSTITUTE(LEFT(CELL("filename"),FIND("]",CELL("filename"))),"[","") &amp; "mmu00510!A1","mmu00510")</f>
        <v>mmu00510</v>
      </c>
      <c r="B98" s="1" t="str">
        <f ca="1">HYPERLINK("[" &amp; SUBSTITUTE(LEFT(CELL("filename"),FIND("]",CELL("filename"))),"[","") &amp; "mmu00510!A1","N-Glycan biosynthesis - Mus musculus (mouse)")</f>
        <v>N-Glycan biosynthesis - Mus musculus (mouse)</v>
      </c>
      <c r="C98" t="s">
        <v>1522</v>
      </c>
      <c r="D98" t="s">
        <v>1522</v>
      </c>
      <c r="E98" t="s">
        <v>1522</v>
      </c>
      <c r="F98" t="s">
        <v>1522</v>
      </c>
      <c r="G98" t="s">
        <v>1522</v>
      </c>
      <c r="H98" t="s">
        <v>1522</v>
      </c>
      <c r="I98">
        <v>12</v>
      </c>
      <c r="J98">
        <v>1.98</v>
      </c>
      <c r="K98">
        <v>4.2200000000000001E-2</v>
      </c>
      <c r="L98" s="52">
        <v>1</v>
      </c>
    </row>
    <row r="99" spans="1:12" x14ac:dyDescent="0.25">
      <c r="A99" s="1" t="str">
        <f ca="1">HYPERLINK("[" &amp; SUBSTITUTE(LEFT(CELL("filename"),FIND("]",CELL("filename"))),"[","") &amp; "mmu04060!A1","mmu04060")</f>
        <v>mmu04060</v>
      </c>
      <c r="B99" s="1" t="str">
        <f ca="1">HYPERLINK("[" &amp; SUBSTITUTE(LEFT(CELL("filename"),FIND("]",CELL("filename"))),"[","") &amp; "mmu04060!A1","Cytokine-cytokine receptor interaction - Mus musculus (mouse)")</f>
        <v>Cytokine-cytokine receptor interaction - Mus musculus (mouse)</v>
      </c>
      <c r="C99" t="s">
        <v>1522</v>
      </c>
      <c r="D99" t="s">
        <v>1522</v>
      </c>
      <c r="E99" t="s">
        <v>1522</v>
      </c>
      <c r="F99" t="s">
        <v>1522</v>
      </c>
      <c r="G99" t="s">
        <v>1522</v>
      </c>
      <c r="H99" t="s">
        <v>1522</v>
      </c>
      <c r="I99">
        <v>65</v>
      </c>
      <c r="J99">
        <v>1.97</v>
      </c>
      <c r="K99">
        <v>9.9999999999999995E-7</v>
      </c>
      <c r="L99" s="52">
        <v>1</v>
      </c>
    </row>
    <row r="100" spans="1:12" x14ac:dyDescent="0.25">
      <c r="A100" s="1" t="str">
        <f ca="1">HYPERLINK("[" &amp; SUBSTITUTE(LEFT(CELL("filename"),FIND("]",CELL("filename"))),"[","") &amp; "mmu05144!A1","mmu05144")</f>
        <v>mmu05144</v>
      </c>
      <c r="B100" s="1" t="str">
        <f ca="1">HYPERLINK("[" &amp; SUBSTITUTE(LEFT(CELL("filename"),FIND("]",CELL("filename"))),"[","") &amp; "mmu05144!A1","Malaria - Mus musculus (mouse)")</f>
        <v>Malaria - Mus musculus (mouse)</v>
      </c>
      <c r="C100" t="s">
        <v>1522</v>
      </c>
      <c r="D100" t="s">
        <v>1522</v>
      </c>
      <c r="E100" t="s">
        <v>1522</v>
      </c>
      <c r="F100" t="s">
        <v>1522</v>
      </c>
      <c r="G100" t="s">
        <v>1522</v>
      </c>
      <c r="H100" t="s">
        <v>1522</v>
      </c>
      <c r="I100">
        <v>13</v>
      </c>
      <c r="J100">
        <v>1.95</v>
      </c>
      <c r="K100">
        <v>3.7900000000000003E-2</v>
      </c>
      <c r="L100" s="52">
        <v>1</v>
      </c>
    </row>
    <row r="101" spans="1:12" x14ac:dyDescent="0.25">
      <c r="A101" s="1" t="str">
        <f ca="1">HYPERLINK("[" &amp; SUBSTITUTE(LEFT(CELL("filename"),FIND("]",CELL("filename"))),"[","") &amp; "mmu00010!A1","mmu00010")</f>
        <v>mmu00010</v>
      </c>
      <c r="B101" s="1" t="str">
        <f ca="1">HYPERLINK("[" &amp; SUBSTITUTE(LEFT(CELL("filename"),FIND("]",CELL("filename"))),"[","") &amp; "mmu00010!A1","Glycolysis / Gluconeogenesis - Mus musculus (mouse)")</f>
        <v>Glycolysis / Gluconeogenesis - Mus musculus (mouse)</v>
      </c>
      <c r="C101" t="s">
        <v>1522</v>
      </c>
      <c r="D101" t="s">
        <v>1522</v>
      </c>
      <c r="E101" t="s">
        <v>1522</v>
      </c>
      <c r="F101" t="s">
        <v>1522</v>
      </c>
      <c r="G101" t="s">
        <v>1522</v>
      </c>
      <c r="H101" t="s">
        <v>1522</v>
      </c>
      <c r="I101">
        <v>15</v>
      </c>
      <c r="J101">
        <v>1.94</v>
      </c>
      <c r="K101">
        <v>2.8299999999999999E-2</v>
      </c>
      <c r="L101" s="52">
        <v>1</v>
      </c>
    </row>
    <row r="102" spans="1:12" x14ac:dyDescent="0.25">
      <c r="A102" s="1" t="str">
        <f ca="1">HYPERLINK("[" &amp; SUBSTITUTE(LEFT(CELL("filename"),FIND("]",CELL("filename"))),"[","") &amp; "mmu04961!A1","mmu04961")</f>
        <v>mmu04961</v>
      </c>
      <c r="B102" s="1" t="str">
        <f ca="1">HYPERLINK("[" &amp; SUBSTITUTE(LEFT(CELL("filename"),FIND("]",CELL("filename"))),"[","") &amp; "mmu04961!A1","Endocrine and other factor-regulated calcium reabsorption - Mus musculus (mouse)")</f>
        <v>Endocrine and other factor-regulated calcium reabsorption - Mus musculus (mouse)</v>
      </c>
      <c r="C102" t="s">
        <v>1522</v>
      </c>
      <c r="D102" t="s">
        <v>1522</v>
      </c>
      <c r="E102" t="s">
        <v>1522</v>
      </c>
      <c r="F102" t="s">
        <v>1522</v>
      </c>
      <c r="G102" t="s">
        <v>1522</v>
      </c>
      <c r="H102" t="s">
        <v>1522</v>
      </c>
      <c r="I102">
        <v>13</v>
      </c>
      <c r="J102">
        <v>1.92</v>
      </c>
      <c r="K102">
        <v>4.2200000000000001E-2</v>
      </c>
      <c r="L102" s="52">
        <v>1</v>
      </c>
    </row>
    <row r="103" spans="1:12" x14ac:dyDescent="0.25">
      <c r="A103" s="1" t="str">
        <f ca="1">HYPERLINK("[" &amp; SUBSTITUTE(LEFT(CELL("filename"),FIND("]",CELL("filename"))),"[","") &amp; "mmu05032!A1","mmu05032")</f>
        <v>mmu05032</v>
      </c>
      <c r="B103" s="1" t="str">
        <f ca="1">HYPERLINK("[" &amp; SUBSTITUTE(LEFT(CELL("filename"),FIND("]",CELL("filename"))),"[","") &amp; "mmu05032!A1","Morphine addiction - Mus musculus (mouse)")</f>
        <v>Morphine addiction - Mus musculus (mouse)</v>
      </c>
      <c r="C103" t="s">
        <v>1522</v>
      </c>
      <c r="D103" t="s">
        <v>1522</v>
      </c>
      <c r="E103" t="s">
        <v>1522</v>
      </c>
      <c r="F103" t="s">
        <v>1522</v>
      </c>
      <c r="G103" t="s">
        <v>1522</v>
      </c>
      <c r="H103" t="s">
        <v>1522</v>
      </c>
      <c r="I103">
        <v>21</v>
      </c>
      <c r="J103">
        <v>1.89</v>
      </c>
      <c r="K103">
        <v>1.1299999999999999E-2</v>
      </c>
      <c r="L103" s="52">
        <v>1</v>
      </c>
    </row>
    <row r="104" spans="1:12" x14ac:dyDescent="0.25">
      <c r="A104" s="1" t="str">
        <f ca="1">HYPERLINK("[" &amp; SUBSTITUTE(LEFT(CELL("filename"),FIND("]",CELL("filename"))),"[","") &amp; "mmu04623!A1","mmu04623")</f>
        <v>mmu04623</v>
      </c>
      <c r="B104" s="1" t="str">
        <f ca="1">HYPERLINK("[" &amp; SUBSTITUTE(LEFT(CELL("filename"),FIND("]",CELL("filename"))),"[","") &amp; "mmu04623!A1","Cytosolic DNA-sensing pathway - Mus musculus (mouse)")</f>
        <v>Cytosolic DNA-sensing pathway - Mus musculus (mouse)</v>
      </c>
      <c r="C104" t="s">
        <v>1522</v>
      </c>
      <c r="D104" t="s">
        <v>1522</v>
      </c>
      <c r="E104" t="s">
        <v>1522</v>
      </c>
      <c r="F104" t="s">
        <v>1522</v>
      </c>
      <c r="G104" t="s">
        <v>1522</v>
      </c>
      <c r="H104" t="s">
        <v>1522</v>
      </c>
      <c r="I104">
        <v>14</v>
      </c>
      <c r="J104">
        <v>1.87</v>
      </c>
      <c r="K104">
        <v>4.2200000000000001E-2</v>
      </c>
      <c r="L104" s="52">
        <v>1</v>
      </c>
    </row>
    <row r="105" spans="1:12" x14ac:dyDescent="0.25">
      <c r="A105" s="1" t="str">
        <f ca="1">HYPERLINK("[" &amp; SUBSTITUTE(LEFT(CELL("filename"),FIND("]",CELL("filename"))),"[","") &amp; "mmu04724!A1","mmu04724")</f>
        <v>mmu04724</v>
      </c>
      <c r="B105" s="1" t="str">
        <f ca="1">HYPERLINK("[" &amp; SUBSTITUTE(LEFT(CELL("filename"),FIND("]",CELL("filename"))),"[","") &amp; "mmu04724!A1","Glutamatergic synapse - Mus musculus (mouse)")</f>
        <v>Glutamatergic synapse - Mus musculus (mouse)</v>
      </c>
      <c r="C105" t="s">
        <v>1522</v>
      </c>
      <c r="D105" t="s">
        <v>1522</v>
      </c>
      <c r="E105" t="s">
        <v>1522</v>
      </c>
      <c r="F105" t="s">
        <v>1522</v>
      </c>
      <c r="G105" t="s">
        <v>1522</v>
      </c>
      <c r="H105" t="s">
        <v>1522</v>
      </c>
      <c r="I105">
        <v>25</v>
      </c>
      <c r="J105">
        <v>1.78</v>
      </c>
      <c r="K105">
        <v>1.11E-2</v>
      </c>
      <c r="L105" s="52">
        <v>1</v>
      </c>
    </row>
    <row r="106" spans="1:12" x14ac:dyDescent="0.25">
      <c r="A106" s="1" t="str">
        <f ca="1">HYPERLINK("[" &amp; SUBSTITUTE(LEFT(CELL("filename"),FIND("]",CELL("filename"))),"[","") &amp; "mmu04330!A1","mmu04330")</f>
        <v>mmu04330</v>
      </c>
      <c r="B106" s="1" t="str">
        <f ca="1">HYPERLINK("[" &amp; SUBSTITUTE(LEFT(CELL("filename"),FIND("]",CELL("filename"))),"[","") &amp; "mmu04330!A1","Notch signaling pathway - Mus musculus (mouse)")</f>
        <v>Notch signaling pathway - Mus musculus (mouse)</v>
      </c>
      <c r="C106">
        <v>14</v>
      </c>
      <c r="D106">
        <v>1.78</v>
      </c>
      <c r="E106">
        <v>5.3499999999999999E-2</v>
      </c>
      <c r="F106" t="s">
        <v>1522</v>
      </c>
      <c r="G106" t="s">
        <v>1522</v>
      </c>
      <c r="H106" t="s">
        <v>1522</v>
      </c>
      <c r="I106" t="s">
        <v>1522</v>
      </c>
      <c r="J106" t="s">
        <v>1522</v>
      </c>
      <c r="K106" t="s">
        <v>1522</v>
      </c>
      <c r="L106" s="52">
        <v>1</v>
      </c>
    </row>
    <row r="107" spans="1:12" x14ac:dyDescent="0.25">
      <c r="A107" s="1" t="str">
        <f ca="1">HYPERLINK("[" &amp; SUBSTITUTE(LEFT(CELL("filename"),FIND("]",CELL("filename"))),"[","") &amp; "mmu04725!A1","mmu04725")</f>
        <v>mmu04725</v>
      </c>
      <c r="B107" s="1" t="str">
        <f ca="1">HYPERLINK("[" &amp; SUBSTITUTE(LEFT(CELL("filename"),FIND("]",CELL("filename"))),"[","") &amp; "mmu04725!A1","Cholinergic synapse - Mus musculus (mouse)")</f>
        <v>Cholinergic synapse - Mus musculus (mouse)</v>
      </c>
      <c r="C107" t="s">
        <v>1522</v>
      </c>
      <c r="D107" t="s">
        <v>1522</v>
      </c>
      <c r="E107" t="s">
        <v>1522</v>
      </c>
      <c r="F107" t="s">
        <v>1522</v>
      </c>
      <c r="G107" t="s">
        <v>1522</v>
      </c>
      <c r="H107" t="s">
        <v>1522</v>
      </c>
      <c r="I107">
        <v>24</v>
      </c>
      <c r="J107">
        <v>1.77</v>
      </c>
      <c r="K107">
        <v>1.34E-2</v>
      </c>
      <c r="L107" s="52">
        <v>1</v>
      </c>
    </row>
    <row r="108" spans="1:12" x14ac:dyDescent="0.25">
      <c r="A108" s="1" t="str">
        <f ca="1">HYPERLINK("[" &amp; SUBSTITUTE(LEFT(CELL("filename"),FIND("]",CELL("filename"))),"[","") &amp; "mmu04910!A1","mmu04910")</f>
        <v>mmu04910</v>
      </c>
      <c r="B108" s="1" t="str">
        <f ca="1">HYPERLINK("[" &amp; SUBSTITUTE(LEFT(CELL("filename"),FIND("]",CELL("filename"))),"[","") &amp; "mmu04910!A1","Insulin signaling pathway - Mus musculus (mouse)")</f>
        <v>Insulin signaling pathway - Mus musculus (mouse)</v>
      </c>
      <c r="C108">
        <v>39</v>
      </c>
      <c r="D108">
        <v>1.75</v>
      </c>
      <c r="E108">
        <v>1.2999999999999999E-3</v>
      </c>
      <c r="F108" t="s">
        <v>1522</v>
      </c>
      <c r="G108" t="s">
        <v>1522</v>
      </c>
      <c r="H108" t="s">
        <v>1522</v>
      </c>
      <c r="I108" t="s">
        <v>1522</v>
      </c>
      <c r="J108" t="s">
        <v>1522</v>
      </c>
      <c r="K108" t="s">
        <v>1522</v>
      </c>
      <c r="L108" s="52">
        <v>1</v>
      </c>
    </row>
    <row r="109" spans="1:12" x14ac:dyDescent="0.25">
      <c r="A109" s="1" t="str">
        <f ca="1">HYPERLINK("[" &amp; SUBSTITUTE(LEFT(CELL("filename"),FIND("]",CELL("filename"))),"[","") &amp; "mmu05219!A1","mmu05219")</f>
        <v>mmu05219</v>
      </c>
      <c r="B109" s="1" t="str">
        <f ca="1">HYPERLINK("[" &amp; SUBSTITUTE(LEFT(CELL("filename"),FIND("]",CELL("filename"))),"[","") &amp; "mmu05219!A1","Bladder cancer - Mus musculus (mouse)")</f>
        <v>Bladder cancer - Mus musculus (mouse)</v>
      </c>
      <c r="C109">
        <v>12</v>
      </c>
      <c r="D109">
        <v>1.74</v>
      </c>
      <c r="E109">
        <v>8.2100000000000006E-2</v>
      </c>
      <c r="F109" t="s">
        <v>1522</v>
      </c>
      <c r="G109" t="s">
        <v>1522</v>
      </c>
      <c r="H109" t="s">
        <v>1522</v>
      </c>
      <c r="I109" t="s">
        <v>1522</v>
      </c>
      <c r="J109" t="s">
        <v>1522</v>
      </c>
      <c r="K109" t="s">
        <v>1522</v>
      </c>
      <c r="L109" s="52">
        <v>1</v>
      </c>
    </row>
    <row r="110" spans="1:12" x14ac:dyDescent="0.25">
      <c r="A110" s="1" t="str">
        <f ca="1">HYPERLINK("[" &amp; SUBSTITUTE(LEFT(CELL("filename"),FIND("]",CELL("filename"))),"[","") &amp; "mmu04530!A1","mmu04530")</f>
        <v>mmu04530</v>
      </c>
      <c r="B110" s="1" t="str">
        <f ca="1">HYPERLINK("[" &amp; SUBSTITUTE(LEFT(CELL("filename"),FIND("]",CELL("filename"))),"[","") &amp; "mmu04530!A1","Tight junction - Mus musculus (mouse)")</f>
        <v>Tight junction - Mus musculus (mouse)</v>
      </c>
      <c r="C110">
        <v>38</v>
      </c>
      <c r="D110">
        <v>1.73</v>
      </c>
      <c r="E110">
        <v>1.8500000000000001E-3</v>
      </c>
      <c r="F110" t="s">
        <v>1522</v>
      </c>
      <c r="G110" t="s">
        <v>1522</v>
      </c>
      <c r="H110" t="s">
        <v>1522</v>
      </c>
      <c r="I110" t="s">
        <v>1522</v>
      </c>
      <c r="J110" t="s">
        <v>1522</v>
      </c>
      <c r="K110" t="s">
        <v>1522</v>
      </c>
      <c r="L110" s="52">
        <v>1</v>
      </c>
    </row>
    <row r="111" spans="1:12" x14ac:dyDescent="0.25">
      <c r="A111" s="1" t="str">
        <f ca="1">HYPERLINK("[" &amp; SUBSTITUTE(LEFT(CELL("filename"),FIND("]",CELL("filename"))),"[","") &amp; "mmu04144!A1","mmu04144")</f>
        <v>mmu04144</v>
      </c>
      <c r="B111" s="1" t="str">
        <f ca="1">HYPERLINK("[" &amp; SUBSTITUTE(LEFT(CELL("filename"),FIND("]",CELL("filename"))),"[","") &amp; "mmu04144!A1","Endocytosis - Mus musculus (mouse)")</f>
        <v>Endocytosis - Mus musculus (mouse)</v>
      </c>
      <c r="C111">
        <v>61</v>
      </c>
      <c r="D111">
        <v>1.73</v>
      </c>
      <c r="E111">
        <v>7.4999999999999993E-5</v>
      </c>
      <c r="F111" t="s">
        <v>1522</v>
      </c>
      <c r="G111" t="s">
        <v>1522</v>
      </c>
      <c r="H111" t="s">
        <v>1522</v>
      </c>
      <c r="I111" t="s">
        <v>1522</v>
      </c>
      <c r="J111" t="s">
        <v>1522</v>
      </c>
      <c r="K111" t="s">
        <v>1522</v>
      </c>
      <c r="L111" s="52">
        <v>1</v>
      </c>
    </row>
    <row r="112" spans="1:12" x14ac:dyDescent="0.25">
      <c r="A112" s="1" t="str">
        <f ca="1">HYPERLINK("[" &amp; SUBSTITUTE(LEFT(CELL("filename"),FIND("]",CELL("filename"))),"[","") &amp; "mmu05211!A1","mmu05211")</f>
        <v>mmu05211</v>
      </c>
      <c r="B112" s="1" t="str">
        <f ca="1">HYPERLINK("[" &amp; SUBSTITUTE(LEFT(CELL("filename"),FIND("]",CELL("filename"))),"[","") &amp; "mmu05211!A1","Renal cell carcinoma - Mus musculus (mouse)")</f>
        <v>Renal cell carcinoma - Mus musculus (mouse)</v>
      </c>
      <c r="C112" t="s">
        <v>1522</v>
      </c>
      <c r="D112" t="s">
        <v>1522</v>
      </c>
      <c r="E112" t="s">
        <v>1522</v>
      </c>
      <c r="F112" t="s">
        <v>1522</v>
      </c>
      <c r="G112" t="s">
        <v>1522</v>
      </c>
      <c r="H112" t="s">
        <v>1522</v>
      </c>
      <c r="I112">
        <v>15</v>
      </c>
      <c r="J112">
        <v>1.72</v>
      </c>
      <c r="K112">
        <v>6.08E-2</v>
      </c>
      <c r="L112" s="52">
        <v>1</v>
      </c>
    </row>
    <row r="113" spans="1:12" x14ac:dyDescent="0.25">
      <c r="A113" s="1" t="str">
        <f ca="1">HYPERLINK("[" &amp; SUBSTITUTE(LEFT(CELL("filename"),FIND("]",CELL("filename"))),"[","") &amp; "mmu05134!A1","mmu05134")</f>
        <v>mmu05134</v>
      </c>
      <c r="B113" s="1" t="str">
        <f ca="1">HYPERLINK("[" &amp; SUBSTITUTE(LEFT(CELL("filename"),FIND("]",CELL("filename"))),"[","") &amp; "mmu05134!A1","Legionellosis - Mus musculus (mouse)")</f>
        <v>Legionellosis - Mus musculus (mouse)</v>
      </c>
      <c r="C113" t="s">
        <v>1522</v>
      </c>
      <c r="D113" t="s">
        <v>1522</v>
      </c>
      <c r="E113" t="s">
        <v>1522</v>
      </c>
      <c r="F113" t="s">
        <v>1522</v>
      </c>
      <c r="G113" t="s">
        <v>1522</v>
      </c>
      <c r="H113" t="s">
        <v>1522</v>
      </c>
      <c r="I113">
        <v>12</v>
      </c>
      <c r="J113">
        <v>1.71</v>
      </c>
      <c r="K113">
        <v>9.1399999999999995E-2</v>
      </c>
      <c r="L113" s="52">
        <v>1</v>
      </c>
    </row>
    <row r="114" spans="1:12" x14ac:dyDescent="0.25">
      <c r="A114" s="1" t="str">
        <f ca="1">HYPERLINK("[" &amp; SUBSTITUTE(LEFT(CELL("filename"),FIND("]",CELL("filename"))),"[","") &amp; "mmu05220!A1","mmu05220")</f>
        <v>mmu05220</v>
      </c>
      <c r="B114" s="1" t="str">
        <f ca="1">HYPERLINK("[" &amp; SUBSTITUTE(LEFT(CELL("filename"),FIND("]",CELL("filename"))),"[","") &amp; "mmu05220!A1","Chronic myeloid leukemia - Mus musculus (mouse)")</f>
        <v>Chronic myeloid leukemia - Mus musculus (mouse)</v>
      </c>
      <c r="C114">
        <v>20</v>
      </c>
      <c r="D114">
        <v>1.69</v>
      </c>
      <c r="E114">
        <v>3.6299999999999999E-2</v>
      </c>
      <c r="F114" t="s">
        <v>1522</v>
      </c>
      <c r="G114" t="s">
        <v>1522</v>
      </c>
      <c r="H114" t="s">
        <v>1522</v>
      </c>
      <c r="I114" t="s">
        <v>1522</v>
      </c>
      <c r="J114" t="s">
        <v>1522</v>
      </c>
      <c r="K114" t="s">
        <v>1522</v>
      </c>
      <c r="L114" s="52">
        <v>1</v>
      </c>
    </row>
    <row r="115" spans="1:12" x14ac:dyDescent="0.25">
      <c r="A115" s="1" t="str">
        <f ca="1">HYPERLINK("[" &amp; SUBSTITUTE(LEFT(CELL("filename"),FIND("]",CELL("filename"))),"[","") &amp; "mmu00564!A1","mmu00564")</f>
        <v>mmu00564</v>
      </c>
      <c r="B115" s="1" t="str">
        <f ca="1">HYPERLINK("[" &amp; SUBSTITUTE(LEFT(CELL("filename"),FIND("]",CELL("filename"))),"[","") &amp; "mmu00564!A1","Glycerophospholipid metabolism - Mus musculus (mouse)")</f>
        <v>Glycerophospholipid metabolism - Mus musculus (mouse)</v>
      </c>
      <c r="C115" t="s">
        <v>1522</v>
      </c>
      <c r="D115" t="s">
        <v>1522</v>
      </c>
      <c r="E115" t="s">
        <v>1522</v>
      </c>
      <c r="F115" t="s">
        <v>1522</v>
      </c>
      <c r="G115" t="s">
        <v>1522</v>
      </c>
      <c r="H115" t="s">
        <v>1522</v>
      </c>
      <c r="I115">
        <v>17</v>
      </c>
      <c r="J115">
        <v>1.63</v>
      </c>
      <c r="K115">
        <v>6.7400000000000002E-2</v>
      </c>
      <c r="L115" s="52">
        <v>1</v>
      </c>
    </row>
    <row r="116" spans="1:12" x14ac:dyDescent="0.25">
      <c r="A116" s="1" t="str">
        <f ca="1">HYPERLINK("[" &amp; SUBSTITUTE(LEFT(CELL("filename"),FIND("]",CELL("filename"))),"[","") &amp; "mmu05203!A1","mmu05203")</f>
        <v>mmu05203</v>
      </c>
      <c r="B116" s="1" t="str">
        <f ca="1">HYPERLINK("[" &amp; SUBSTITUTE(LEFT(CELL("filename"),FIND("]",CELL("filename"))),"[","") &amp; "mmu05203!A1","Viral carcinogenesis - Mus musculus (mouse)")</f>
        <v>Viral carcinogenesis - Mus musculus (mouse)</v>
      </c>
      <c r="C116">
        <v>59</v>
      </c>
      <c r="D116">
        <v>1.61</v>
      </c>
      <c r="E116">
        <v>6.2200000000000005E-4</v>
      </c>
      <c r="F116" t="s">
        <v>1522</v>
      </c>
      <c r="G116" t="s">
        <v>1522</v>
      </c>
      <c r="H116" t="s">
        <v>1522</v>
      </c>
      <c r="I116" t="s">
        <v>1522</v>
      </c>
      <c r="J116" t="s">
        <v>1522</v>
      </c>
      <c r="K116" t="s">
        <v>1522</v>
      </c>
      <c r="L116" s="52">
        <v>1</v>
      </c>
    </row>
    <row r="117" spans="1:12" x14ac:dyDescent="0.25">
      <c r="A117" s="1" t="str">
        <f ca="1">HYPERLINK("[" &amp; SUBSTITUTE(LEFT(CELL("filename"),FIND("]",CELL("filename"))),"[","") &amp; "mmu04520!A1","mmu04520")</f>
        <v>mmu04520</v>
      </c>
      <c r="B117" s="1" t="str">
        <f ca="1">HYPERLINK("[" &amp; SUBSTITUTE(LEFT(CELL("filename"),FIND("]",CELL("filename"))),"[","") &amp; "mmu04520!A1","Adherens junction - Mus musculus (mouse)")</f>
        <v>Adherens junction - Mus musculus (mouse)</v>
      </c>
      <c r="C117">
        <v>19</v>
      </c>
      <c r="D117">
        <v>1.6</v>
      </c>
      <c r="E117">
        <v>6.0600000000000001E-2</v>
      </c>
      <c r="F117" t="s">
        <v>1522</v>
      </c>
      <c r="G117" t="s">
        <v>1522</v>
      </c>
      <c r="H117" t="s">
        <v>1522</v>
      </c>
      <c r="I117" t="s">
        <v>1522</v>
      </c>
      <c r="J117" t="s">
        <v>1522</v>
      </c>
      <c r="K117" t="s">
        <v>1522</v>
      </c>
      <c r="L117" s="52">
        <v>1</v>
      </c>
    </row>
    <row r="118" spans="1:12" x14ac:dyDescent="0.25">
      <c r="A118" s="1" t="str">
        <f ca="1">HYPERLINK("[" &amp; SUBSTITUTE(LEFT(CELL("filename"),FIND("]",CELL("filename"))),"[","") &amp; "mmu04916!A1","mmu04916")</f>
        <v>mmu04916</v>
      </c>
      <c r="B118" s="1" t="str">
        <f ca="1">HYPERLINK("[" &amp; SUBSTITUTE(LEFT(CELL("filename"),FIND("]",CELL("filename"))),"[","") &amp; "mmu04916!A1","Melanogenesis - Mus musculus (mouse)")</f>
        <v>Melanogenesis - Mus musculus (mouse)</v>
      </c>
      <c r="C118" t="s">
        <v>1522</v>
      </c>
      <c r="D118" t="s">
        <v>1522</v>
      </c>
      <c r="E118" t="s">
        <v>1522</v>
      </c>
      <c r="F118" t="s">
        <v>1522</v>
      </c>
      <c r="G118" t="s">
        <v>1522</v>
      </c>
      <c r="H118" t="s">
        <v>1522</v>
      </c>
      <c r="I118">
        <v>19</v>
      </c>
      <c r="J118">
        <v>1.59</v>
      </c>
      <c r="K118">
        <v>6.7400000000000002E-2</v>
      </c>
      <c r="L118" s="52">
        <v>1</v>
      </c>
    </row>
    <row r="119" spans="1:12" x14ac:dyDescent="0.25">
      <c r="A119" s="1" t="str">
        <f ca="1">HYPERLINK("[" &amp; SUBSTITUTE(LEFT(CELL("filename"),FIND("]",CELL("filename"))),"[","") &amp; "mmu04727!A1","mmu04727")</f>
        <v>mmu04727</v>
      </c>
      <c r="B119" s="1" t="str">
        <f ca="1">HYPERLINK("[" &amp; SUBSTITUTE(LEFT(CELL("filename"),FIND("]",CELL("filename"))),"[","") &amp; "mmu04727!A1","GABAergic synapse - Mus musculus (mouse)")</f>
        <v>GABAergic synapse - Mus musculus (mouse)</v>
      </c>
      <c r="C119" t="s">
        <v>1522</v>
      </c>
      <c r="D119" t="s">
        <v>1522</v>
      </c>
      <c r="E119" t="s">
        <v>1522</v>
      </c>
      <c r="F119" t="s">
        <v>1522</v>
      </c>
      <c r="G119" t="s">
        <v>1522</v>
      </c>
      <c r="H119" t="s">
        <v>1522</v>
      </c>
      <c r="I119">
        <v>17</v>
      </c>
      <c r="J119">
        <v>1.58</v>
      </c>
      <c r="K119">
        <v>8.3000000000000004E-2</v>
      </c>
      <c r="L119" s="52">
        <v>1</v>
      </c>
    </row>
    <row r="120" spans="1:12" x14ac:dyDescent="0.25">
      <c r="A120" s="1" t="str">
        <f ca="1">HYPERLINK("[" &amp; SUBSTITUTE(LEFT(CELL("filename"),FIND("]",CELL("filename"))),"[","") &amp; "mmu05210!A1","mmu05210")</f>
        <v>mmu05210</v>
      </c>
      <c r="B120" s="1" t="str">
        <f ca="1">HYPERLINK("[" &amp; SUBSTITUTE(LEFT(CELL("filename"),FIND("]",CELL("filename"))),"[","") &amp; "mmu05210!A1","Colorectal cancer - Mus musculus (mouse)")</f>
        <v>Colorectal cancer - Mus musculus (mouse)</v>
      </c>
      <c r="C120">
        <v>16</v>
      </c>
      <c r="D120">
        <v>1.56</v>
      </c>
      <c r="E120">
        <v>9.8500000000000004E-2</v>
      </c>
      <c r="F120" t="s">
        <v>1522</v>
      </c>
      <c r="G120" t="s">
        <v>1522</v>
      </c>
      <c r="H120" t="s">
        <v>1522</v>
      </c>
      <c r="I120" t="s">
        <v>1522</v>
      </c>
      <c r="J120" t="s">
        <v>1522</v>
      </c>
      <c r="K120" t="s">
        <v>1522</v>
      </c>
      <c r="L120" s="52">
        <v>1</v>
      </c>
    </row>
    <row r="121" spans="1:12" x14ac:dyDescent="0.25">
      <c r="A121" s="1" t="str">
        <f ca="1">HYPERLINK("[" &amp; SUBSTITUTE(LEFT(CELL("filename"),FIND("]",CELL("filename"))),"[","") &amp; "mmu04360!A1","mmu04360")</f>
        <v>mmu04360</v>
      </c>
      <c r="B121" s="1" t="str">
        <f ca="1">HYPERLINK("[" &amp; SUBSTITUTE(LEFT(CELL("filename"),FIND("]",CELL("filename"))),"[","") &amp; "mmu04360!A1","Axon guidance - Mus musculus (mouse)")</f>
        <v>Axon guidance - Mus musculus (mouse)</v>
      </c>
      <c r="C121" t="s">
        <v>1522</v>
      </c>
      <c r="D121" t="s">
        <v>1522</v>
      </c>
      <c r="E121" t="s">
        <v>1522</v>
      </c>
      <c r="F121" t="s">
        <v>1522</v>
      </c>
      <c r="G121" t="s">
        <v>1522</v>
      </c>
      <c r="H121" t="s">
        <v>1522</v>
      </c>
      <c r="I121">
        <v>25</v>
      </c>
      <c r="J121">
        <v>1.55</v>
      </c>
      <c r="K121">
        <v>4.48E-2</v>
      </c>
      <c r="L121" s="52">
        <v>1</v>
      </c>
    </row>
    <row r="122" spans="1:12" x14ac:dyDescent="0.25">
      <c r="A122" s="1" t="str">
        <f ca="1">HYPERLINK("[" &amp; SUBSTITUTE(LEFT(CELL("filename"),FIND("]",CELL("filename"))),"[","") &amp; "mmu04728!A1","mmu04728")</f>
        <v>mmu04728</v>
      </c>
      <c r="B122" s="1" t="str">
        <f ca="1">HYPERLINK("[" &amp; SUBSTITUTE(LEFT(CELL("filename"),FIND("]",CELL("filename"))),"[","") &amp; "mmu04728!A1","Dopaminergic synapse - Mus musculus (mouse)")</f>
        <v>Dopaminergic synapse - Mus musculus (mouse)</v>
      </c>
      <c r="C122" t="s">
        <v>1522</v>
      </c>
      <c r="D122" t="s">
        <v>1522</v>
      </c>
      <c r="E122" t="s">
        <v>1522</v>
      </c>
      <c r="F122" t="s">
        <v>1522</v>
      </c>
      <c r="G122" t="s">
        <v>1522</v>
      </c>
      <c r="H122" t="s">
        <v>1522</v>
      </c>
      <c r="I122">
        <v>24</v>
      </c>
      <c r="J122">
        <v>1.53</v>
      </c>
      <c r="K122">
        <v>5.7599999999999998E-2</v>
      </c>
      <c r="L122" s="52">
        <v>1</v>
      </c>
    </row>
    <row r="123" spans="1:12" x14ac:dyDescent="0.25">
      <c r="A123" s="1" t="str">
        <f ca="1">HYPERLINK("[" &amp; SUBSTITUTE(LEFT(CELL("filename"),FIND("]",CELL("filename"))),"[","") &amp; "mmu04640!A1","mmu04640")</f>
        <v>mmu04640</v>
      </c>
      <c r="B123" s="1" t="str">
        <f ca="1">HYPERLINK("[" &amp; SUBSTITUTE(LEFT(CELL("filename"),FIND("]",CELL("filename"))),"[","") &amp; "mmu04640!A1","Hematopoietic cell lineage - Mus musculus (mouse)")</f>
        <v>Hematopoietic cell lineage - Mus musculus (mouse)</v>
      </c>
      <c r="C123">
        <v>21</v>
      </c>
      <c r="D123">
        <v>1.52</v>
      </c>
      <c r="E123">
        <v>7.3499999999999996E-2</v>
      </c>
      <c r="F123" t="s">
        <v>1522</v>
      </c>
      <c r="G123" t="s">
        <v>1522</v>
      </c>
      <c r="H123" t="s">
        <v>1522</v>
      </c>
      <c r="I123" t="s">
        <v>1522</v>
      </c>
      <c r="J123" t="s">
        <v>1522</v>
      </c>
      <c r="K123" t="s">
        <v>1522</v>
      </c>
      <c r="L123" s="52">
        <v>1</v>
      </c>
    </row>
  </sheetData>
  <mergeCells count="5">
    <mergeCell ref="C3:E3"/>
    <mergeCell ref="F3:H3"/>
    <mergeCell ref="I3:K3"/>
    <mergeCell ref="B3:B4"/>
    <mergeCell ref="A3:A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1989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1971</v>
      </c>
      <c r="B5" t="s">
        <v>671</v>
      </c>
      <c r="C5" s="26">
        <v>-2.4889999999999999</v>
      </c>
      <c r="D5" s="42">
        <v>3.9620000000000002</v>
      </c>
      <c r="E5" s="14">
        <v>1.2070000000000001</v>
      </c>
      <c r="F5" s="1" t="str">
        <f>HYPERLINK("http://www.ncbi.nlm.nih.gov/pubmed/?term=Pgf","Pgf")</f>
        <v>Pgf</v>
      </c>
    </row>
    <row r="6" spans="1:6" x14ac:dyDescent="0.25">
      <c r="A6" t="s">
        <v>2016</v>
      </c>
      <c r="B6" t="s">
        <v>1464</v>
      </c>
      <c r="C6" s="26">
        <v>-0.25159999999999999</v>
      </c>
      <c r="D6" s="27">
        <v>4.952</v>
      </c>
      <c r="E6" s="14">
        <v>0.69540000000000002</v>
      </c>
      <c r="F6" s="1" t="str">
        <f>HYPERLINK("http://www.ncbi.nlm.nih.gov/pubmed/?term=Pik3cg","Pik3cg")</f>
        <v>Pik3cg</v>
      </c>
    </row>
    <row r="7" spans="1:6" x14ac:dyDescent="0.25">
      <c r="A7" t="s">
        <v>1335</v>
      </c>
      <c r="B7" t="s">
        <v>1328</v>
      </c>
      <c r="C7" s="14">
        <v>0.53520000000000001</v>
      </c>
      <c r="D7" s="28">
        <v>5.8090000000000002</v>
      </c>
      <c r="E7" s="47">
        <v>2.5489999999999999</v>
      </c>
      <c r="F7" s="1" t="str">
        <f>HYPERLINK("http://www.ncbi.nlm.nih.gov/pubmed/?term=Pik3r5","Pik3r5")</f>
        <v>Pik3r5</v>
      </c>
    </row>
    <row r="8" spans="1:6" x14ac:dyDescent="0.25">
      <c r="A8" t="s">
        <v>853</v>
      </c>
      <c r="B8" t="s">
        <v>1990</v>
      </c>
      <c r="C8" s="26">
        <v>2.0140000000000002E-2</v>
      </c>
      <c r="D8" s="27">
        <v>5.3710000000000004</v>
      </c>
      <c r="E8" s="42">
        <v>4.4320000000000004</v>
      </c>
      <c r="F8" s="1" t="str">
        <f>HYPERLINK("http://www.ncbi.nlm.nih.gov/pubmed/?term=Ccnd1","Ccnd1")</f>
        <v>Ccnd1</v>
      </c>
    </row>
    <row r="9" spans="1:6" x14ac:dyDescent="0.25">
      <c r="A9" t="s">
        <v>390</v>
      </c>
      <c r="B9" t="s">
        <v>1712</v>
      </c>
      <c r="C9" s="28">
        <v>5.78</v>
      </c>
      <c r="D9" s="43">
        <v>6.601</v>
      </c>
      <c r="E9" s="43">
        <v>7.68</v>
      </c>
      <c r="F9" s="1" t="str">
        <f>HYPERLINK("http://www.ncbi.nlm.nih.gov/pubmed/?term=Stat3","Stat3")</f>
        <v>Stat3</v>
      </c>
    </row>
    <row r="10" spans="1:6" x14ac:dyDescent="0.25">
      <c r="A10" t="s">
        <v>1237</v>
      </c>
      <c r="B10" t="s">
        <v>1139</v>
      </c>
      <c r="C10" s="42">
        <v>4.141</v>
      </c>
      <c r="D10" s="42">
        <v>4.1669999999999998</v>
      </c>
      <c r="E10" s="43">
        <v>6.782</v>
      </c>
      <c r="F10" s="1" t="str">
        <f>HYPERLINK("http://www.ncbi.nlm.nih.gov/pubmed/?term=Bcl2l1","Bcl2l1")</f>
        <v>Bcl2l1</v>
      </c>
    </row>
    <row r="11" spans="1:6" x14ac:dyDescent="0.25">
      <c r="A11" t="s">
        <v>1474</v>
      </c>
      <c r="B11" t="s">
        <v>1976</v>
      </c>
      <c r="C11" s="42">
        <v>3.9710000000000001</v>
      </c>
      <c r="D11" s="27">
        <v>4.7439999999999998</v>
      </c>
      <c r="E11" s="43">
        <v>6.95</v>
      </c>
      <c r="F11" s="1" t="str">
        <f>HYPERLINK("http://www.ncbi.nlm.nih.gov/pubmed/?term=Pld1","Pld1")</f>
        <v>Pld1</v>
      </c>
    </row>
    <row r="12" spans="1:6" x14ac:dyDescent="0.25">
      <c r="A12" t="s">
        <v>1352</v>
      </c>
      <c r="B12" t="s">
        <v>2160</v>
      </c>
      <c r="C12" s="27">
        <v>4.5460000000000003</v>
      </c>
      <c r="D12" s="27">
        <v>4.9820000000000002</v>
      </c>
      <c r="E12" s="28">
        <v>6.2560000000000002</v>
      </c>
      <c r="F12" s="1" t="str">
        <f>HYPERLINK("http://www.ncbi.nlm.nih.gov/pubmed/?term=Ikbkb","Ikbkb")</f>
        <v>Ikbkb</v>
      </c>
    </row>
    <row r="13" spans="1:6" x14ac:dyDescent="0.25">
      <c r="A13" t="s">
        <v>333</v>
      </c>
      <c r="B13" t="s">
        <v>1460</v>
      </c>
      <c r="C13" s="26">
        <v>0.44829999999999998</v>
      </c>
      <c r="D13" s="36">
        <v>2.1360000000000001</v>
      </c>
      <c r="E13" s="42">
        <v>3.8809999999999998</v>
      </c>
      <c r="F13" s="1" t="str">
        <f>HYPERLINK("http://www.ncbi.nlm.nih.gov/pubmed/?term=Pik3cb","Pik3cb")</f>
        <v>Pik3cb</v>
      </c>
    </row>
    <row r="14" spans="1:6" x14ac:dyDescent="0.25">
      <c r="A14" t="s">
        <v>674</v>
      </c>
      <c r="B14" t="s">
        <v>1949</v>
      </c>
      <c r="C14" s="47">
        <v>2.6110000000000002</v>
      </c>
      <c r="D14" s="42">
        <v>4.2789999999999999</v>
      </c>
      <c r="E14" s="43">
        <v>6.8239999999999998</v>
      </c>
      <c r="F14" s="1" t="str">
        <f>HYPERLINK("http://www.ncbi.nlm.nih.gov/pubmed/?term=Rac2","Rac2")</f>
        <v>Rac2</v>
      </c>
    </row>
    <row r="15" spans="1:6" x14ac:dyDescent="0.25">
      <c r="A15" t="s">
        <v>823</v>
      </c>
      <c r="B15" t="s">
        <v>1992</v>
      </c>
      <c r="C15" s="26">
        <v>-2.1560000000000001</v>
      </c>
      <c r="D15" s="47">
        <v>3.274</v>
      </c>
      <c r="E15" s="42">
        <v>3.9910000000000001</v>
      </c>
      <c r="F15" s="1" t="str">
        <f>HYPERLINK("http://www.ncbi.nlm.nih.gov/pubmed/?term=Cdkn2a","Cdkn2a")</f>
        <v>Cdkn2a</v>
      </c>
    </row>
    <row r="16" spans="1:6" x14ac:dyDescent="0.25">
      <c r="A16" t="s">
        <v>91</v>
      </c>
      <c r="B16" t="s">
        <v>1403</v>
      </c>
      <c r="C16" s="36">
        <v>1.8640000000000001</v>
      </c>
      <c r="D16" s="42">
        <v>3.6930000000000001</v>
      </c>
      <c r="E16" s="27">
        <v>4.968</v>
      </c>
      <c r="F16" s="1" t="str">
        <f>HYPERLINK("http://www.ncbi.nlm.nih.gov/pubmed/?term=Erbb2","Erbb2")</f>
        <v>Erbb2</v>
      </c>
    </row>
    <row r="17" spans="1:6" x14ac:dyDescent="0.25">
      <c r="A17" t="s">
        <v>1882</v>
      </c>
      <c r="B17" t="s">
        <v>474</v>
      </c>
      <c r="C17" s="47">
        <v>3.1909999999999998</v>
      </c>
      <c r="D17" s="42">
        <v>4.0170000000000003</v>
      </c>
      <c r="E17" s="14">
        <v>1.3959999999999999</v>
      </c>
      <c r="F17" s="1" t="str">
        <f>HYPERLINK("http://www.ncbi.nlm.nih.gov/pubmed/?term=Tgfb3","Tgfb3")</f>
        <v>Tgfb3</v>
      </c>
    </row>
    <row r="18" spans="1:6" x14ac:dyDescent="0.25">
      <c r="A18" t="s">
        <v>1444</v>
      </c>
      <c r="B18" t="s">
        <v>1417</v>
      </c>
      <c r="C18" s="27">
        <v>4.7190000000000003</v>
      </c>
      <c r="D18" s="42">
        <v>4.1989999999999998</v>
      </c>
      <c r="E18" s="47">
        <v>2.794</v>
      </c>
      <c r="F18" s="1" t="str">
        <f>HYPERLINK("http://www.ncbi.nlm.nih.gov/pubmed/?term=Egfr","Egfr")</f>
        <v>Egfr</v>
      </c>
    </row>
    <row r="19" spans="1:6" x14ac:dyDescent="0.25">
      <c r="A19" t="s">
        <v>31</v>
      </c>
      <c r="B19" t="s">
        <v>400</v>
      </c>
      <c r="C19" s="42">
        <v>4.476</v>
      </c>
      <c r="D19" s="42">
        <v>3.5920000000000001</v>
      </c>
      <c r="E19" s="47">
        <v>3.4319999999999999</v>
      </c>
      <c r="F19" s="1" t="str">
        <f>HYPERLINK("http://www.ncbi.nlm.nih.gov/pubmed/?term=Mapk9","Mapk9")</f>
        <v>Mapk9</v>
      </c>
    </row>
    <row r="20" spans="1:6" x14ac:dyDescent="0.25">
      <c r="A20" t="s">
        <v>834</v>
      </c>
      <c r="B20" t="s">
        <v>1552</v>
      </c>
      <c r="C20" s="27">
        <v>4.516</v>
      </c>
      <c r="D20" s="42">
        <v>3.7549999999999999</v>
      </c>
      <c r="E20" s="47">
        <v>3.4649999999999999</v>
      </c>
      <c r="F20" s="1" t="str">
        <f>HYPERLINK("http://www.ncbi.nlm.nih.gov/pubmed/?term=Mapk8","Mapk8")</f>
        <v>Mapk8</v>
      </c>
    </row>
    <row r="21" spans="1:6" x14ac:dyDescent="0.25">
      <c r="A21" t="s">
        <v>2197</v>
      </c>
      <c r="B21" t="s">
        <v>1027</v>
      </c>
      <c r="C21" s="27">
        <v>5.4749999999999996</v>
      </c>
      <c r="D21" s="27">
        <v>5.3170000000000002</v>
      </c>
      <c r="E21" s="42">
        <v>3.907</v>
      </c>
      <c r="F21" s="1" t="str">
        <f>HYPERLINK("http://www.ncbi.nlm.nih.gov/pubmed/?term=Vegfa","Vegfa")</f>
        <v>Vegfa</v>
      </c>
    </row>
    <row r="22" spans="1:6" x14ac:dyDescent="0.25">
      <c r="A22" t="s">
        <v>233</v>
      </c>
      <c r="B22" t="s">
        <v>1714</v>
      </c>
      <c r="C22" s="43">
        <v>6.734</v>
      </c>
      <c r="D22" s="43">
        <v>6.7110000000000003</v>
      </c>
      <c r="E22" s="27">
        <v>5.4809999999999999</v>
      </c>
      <c r="F22" s="1" t="str">
        <f>HYPERLINK("http://www.ncbi.nlm.nih.gov/pubmed/?term=Stat1","Stat1")</f>
        <v>Stat1</v>
      </c>
    </row>
    <row r="23" spans="1:6" x14ac:dyDescent="0.25">
      <c r="A23" t="s">
        <v>1205</v>
      </c>
      <c r="B23" t="s">
        <v>1329</v>
      </c>
      <c r="C23" s="28">
        <v>5.6820000000000004</v>
      </c>
      <c r="D23" s="27">
        <v>5.0220000000000002</v>
      </c>
      <c r="E23" s="27">
        <v>4.7060000000000004</v>
      </c>
      <c r="F23" s="1" t="str">
        <f>HYPERLINK("http://www.ncbi.nlm.nih.gov/pubmed/?term=Pik3r2","Pik3r2")</f>
        <v>Pik3r2</v>
      </c>
    </row>
    <row r="24" spans="1:6" x14ac:dyDescent="0.25">
      <c r="A24" t="s">
        <v>650</v>
      </c>
      <c r="B24" t="s">
        <v>2046</v>
      </c>
      <c r="C24" s="27">
        <v>4.5739999999999998</v>
      </c>
      <c r="D24" s="36">
        <v>2.1139999999999999</v>
      </c>
      <c r="E24" s="26">
        <v>-0.61719999999999997</v>
      </c>
      <c r="F24" s="1" t="str">
        <f>HYPERLINK("http://www.ncbi.nlm.nih.gov/pubmed/?term=Tgfbr2","Tgfbr2")</f>
        <v>Tgfbr2</v>
      </c>
    </row>
    <row r="25" spans="1:6" x14ac:dyDescent="0.25">
      <c r="A25" t="s">
        <v>731</v>
      </c>
      <c r="B25" t="s">
        <v>1330</v>
      </c>
      <c r="C25" s="27">
        <v>4.9180000000000001</v>
      </c>
      <c r="D25" s="27">
        <v>4.8079999999999998</v>
      </c>
      <c r="E25" s="42">
        <v>3.7410000000000001</v>
      </c>
      <c r="F25" s="1" t="str">
        <f>HYPERLINK("http://www.ncbi.nlm.nih.gov/pubmed/?term=Pik3r1","Pik3r1")</f>
        <v>Pik3r1</v>
      </c>
    </row>
    <row r="26" spans="1:6" x14ac:dyDescent="0.25">
      <c r="A26" t="s">
        <v>1459</v>
      </c>
      <c r="B26" t="s">
        <v>473</v>
      </c>
      <c r="C26" s="47">
        <v>3.3570000000000002</v>
      </c>
      <c r="D26" s="47">
        <v>2.609</v>
      </c>
      <c r="E26" s="42">
        <v>3.7639999999999998</v>
      </c>
      <c r="F26" s="1" t="str">
        <f>HYPERLINK("http://www.ncbi.nlm.nih.gov/pubmed/?term=Tgfb1","Tgfb1")</f>
        <v>Tgfb1</v>
      </c>
    </row>
    <row r="27" spans="1:6" x14ac:dyDescent="0.25">
      <c r="A27" t="s">
        <v>807</v>
      </c>
      <c r="B27" t="s">
        <v>1950</v>
      </c>
      <c r="C27" s="27">
        <v>5.1239999999999997</v>
      </c>
      <c r="D27" s="47">
        <v>3.4119999999999999</v>
      </c>
      <c r="E27" s="27">
        <v>5.2290000000000001</v>
      </c>
      <c r="F27" s="1" t="str">
        <f>HYPERLINK("http://www.ncbi.nlm.nih.gov/pubmed/?term=Rac3","Rac3")</f>
        <v>Rac3</v>
      </c>
    </row>
    <row r="28" spans="1:6" x14ac:dyDescent="0.25">
      <c r="A28" t="s">
        <v>159</v>
      </c>
      <c r="B28" t="s">
        <v>1644</v>
      </c>
      <c r="C28" s="43">
        <v>6.5579999999999998</v>
      </c>
      <c r="D28" s="27">
        <v>4.7640000000000002</v>
      </c>
      <c r="E28" s="27">
        <v>5.4039999999999999</v>
      </c>
      <c r="F28" s="1" t="str">
        <f>HYPERLINK("http://www.ncbi.nlm.nih.gov/pubmed/?term=Map2k1","Map2k1")</f>
        <v>Map2k1</v>
      </c>
    </row>
    <row r="29" spans="1:6" x14ac:dyDescent="0.25">
      <c r="A29" t="s">
        <v>1289</v>
      </c>
      <c r="B29" t="s">
        <v>2001</v>
      </c>
      <c r="C29" s="27">
        <v>4.7679999999999998</v>
      </c>
      <c r="D29" s="47">
        <v>2.8929999999999998</v>
      </c>
      <c r="E29" s="47">
        <v>3.339</v>
      </c>
      <c r="F29" s="1" t="str">
        <f>HYPERLINK("http://www.ncbi.nlm.nih.gov/pubmed/?term=Smad3","Smad3")</f>
        <v>Smad3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302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238</v>
      </c>
      <c r="B5" t="s">
        <v>1837</v>
      </c>
      <c r="C5" s="21">
        <v>2.0750000000000002</v>
      </c>
      <c r="D5" s="41">
        <v>3.6520000000000001</v>
      </c>
      <c r="E5" s="23">
        <v>2.8769999999999998</v>
      </c>
      <c r="F5" s="1" t="str">
        <f>HYPERLINK("http://www.ncbi.nlm.nih.gov/pubmed/?term=Dnase2a","Dnase2a")</f>
        <v>Dnase2a</v>
      </c>
    </row>
    <row r="6" spans="1:6" x14ac:dyDescent="0.25">
      <c r="A6" t="s">
        <v>2138</v>
      </c>
      <c r="B6" t="s">
        <v>1624</v>
      </c>
      <c r="C6" s="23">
        <v>3.3119999999999998</v>
      </c>
      <c r="D6" s="41">
        <v>4.3319999999999999</v>
      </c>
      <c r="E6" s="41">
        <v>3.524</v>
      </c>
      <c r="F6" s="1" t="str">
        <f>HYPERLINK("http://www.ncbi.nlm.nih.gov/pubmed/?term=Man2b1","Man2b1")</f>
        <v>Man2b1</v>
      </c>
    </row>
    <row r="7" spans="1:6" x14ac:dyDescent="0.25">
      <c r="A7" t="s">
        <v>833</v>
      </c>
      <c r="B7" t="s">
        <v>2111</v>
      </c>
      <c r="C7" s="41">
        <v>4.1890000000000001</v>
      </c>
      <c r="D7" s="17">
        <v>5.2679999999999998</v>
      </c>
      <c r="E7" s="17">
        <v>4.7720000000000002</v>
      </c>
      <c r="F7" s="1" t="str">
        <f>HYPERLINK("http://www.ncbi.nlm.nih.gov/pubmed/?term=Ctsb","Ctsb")</f>
        <v>Ctsb</v>
      </c>
    </row>
    <row r="8" spans="1:6" x14ac:dyDescent="0.25">
      <c r="A8" t="s">
        <v>1834</v>
      </c>
      <c r="B8" t="s">
        <v>626</v>
      </c>
      <c r="C8" s="23">
        <v>2.6</v>
      </c>
      <c r="D8" s="22">
        <v>5.673</v>
      </c>
      <c r="E8" s="22">
        <v>5.6340000000000003</v>
      </c>
      <c r="F8" s="1" t="str">
        <f>HYPERLINK("http://www.ncbi.nlm.nih.gov/pubmed/?term=Gusb","Gusb")</f>
        <v>Gusb</v>
      </c>
    </row>
    <row r="9" spans="1:6" x14ac:dyDescent="0.25">
      <c r="A9" t="s">
        <v>924</v>
      </c>
      <c r="B9" t="s">
        <v>345</v>
      </c>
      <c r="C9" s="38">
        <v>0.77900000000000003</v>
      </c>
      <c r="D9" s="41">
        <v>3.867</v>
      </c>
      <c r="E9" s="23">
        <v>2.9809999999999999</v>
      </c>
      <c r="F9" s="1" t="str">
        <f>HYPERLINK("http://www.ncbi.nlm.nih.gov/pubmed/?term=Ap1s2","Ap1s2")</f>
        <v>Ap1s2</v>
      </c>
    </row>
    <row r="10" spans="1:6" x14ac:dyDescent="0.25">
      <c r="A10" t="s">
        <v>1999</v>
      </c>
      <c r="B10" t="s">
        <v>736</v>
      </c>
      <c r="C10" s="23">
        <v>2.9670000000000001</v>
      </c>
      <c r="D10" s="41">
        <v>4.0599999999999996</v>
      </c>
      <c r="E10" s="23">
        <v>3.0960000000000001</v>
      </c>
      <c r="F10" s="1" t="str">
        <f>HYPERLINK("http://www.ncbi.nlm.nih.gov/pubmed/?term=Gnptab","Gnptab")</f>
        <v>Gnptab</v>
      </c>
    </row>
    <row r="11" spans="1:6" x14ac:dyDescent="0.25">
      <c r="A11" t="s">
        <v>283</v>
      </c>
      <c r="B11" t="s">
        <v>1006</v>
      </c>
      <c r="C11" s="23">
        <v>3.1749999999999998</v>
      </c>
      <c r="D11" s="41">
        <v>4.24</v>
      </c>
      <c r="E11" s="41">
        <v>3.621</v>
      </c>
      <c r="F11" s="1" t="str">
        <f>HYPERLINK("http://www.ncbi.nlm.nih.gov/pubmed/?term=Ids","Ids")</f>
        <v>Ids</v>
      </c>
    </row>
    <row r="12" spans="1:6" x14ac:dyDescent="0.25">
      <c r="A12" t="s">
        <v>1174</v>
      </c>
      <c r="B12" t="s">
        <v>1559</v>
      </c>
      <c r="C12" s="21">
        <v>2.3959999999999999</v>
      </c>
      <c r="D12" s="41">
        <v>3.7170000000000001</v>
      </c>
      <c r="E12" s="23">
        <v>2.9279999999999999</v>
      </c>
      <c r="F12" s="1" t="str">
        <f>HYPERLINK("http://www.ncbi.nlm.nih.gov/pubmed/?term=Smpd1","Smpd1")</f>
        <v>Smpd1</v>
      </c>
    </row>
    <row r="13" spans="1:6" x14ac:dyDescent="0.25">
      <c r="A13" t="s">
        <v>1583</v>
      </c>
      <c r="B13" t="s">
        <v>1804</v>
      </c>
      <c r="C13" s="26">
        <v>-3.351</v>
      </c>
      <c r="D13" s="41">
        <v>3.9550000000000001</v>
      </c>
      <c r="E13" s="23">
        <v>3.1509999999999998</v>
      </c>
      <c r="F13" s="1" t="str">
        <f>HYPERLINK("http://www.ncbi.nlm.nih.gov/pubmed/?term=Psapl1","Psapl1")</f>
        <v>Psapl1</v>
      </c>
    </row>
    <row r="14" spans="1:6" x14ac:dyDescent="0.25">
      <c r="A14" t="s">
        <v>896</v>
      </c>
      <c r="B14" t="s">
        <v>1538</v>
      </c>
      <c r="C14" s="23">
        <v>2.5830000000000002</v>
      </c>
      <c r="D14" s="22">
        <v>5.5839999999999996</v>
      </c>
      <c r="E14" s="3">
        <v>7.9420000000000002</v>
      </c>
      <c r="F14" s="1" t="str">
        <f>HYPERLINK("http://www.ncbi.nlm.nih.gov/pubmed/?term=Ctsz","Ctsz")</f>
        <v>Ctsz</v>
      </c>
    </row>
    <row r="15" spans="1:6" x14ac:dyDescent="0.25">
      <c r="A15" t="s">
        <v>8</v>
      </c>
      <c r="B15" t="s">
        <v>2173</v>
      </c>
      <c r="C15" s="26">
        <v>0.4461</v>
      </c>
      <c r="D15" s="21">
        <v>1.655</v>
      </c>
      <c r="E15" s="41">
        <v>3.964</v>
      </c>
      <c r="F15" s="1" t="str">
        <f>HYPERLINK("http://www.ncbi.nlm.nih.gov/pubmed/?term=Cd68","Cd68")</f>
        <v>Cd68</v>
      </c>
    </row>
    <row r="16" spans="1:6" x14ac:dyDescent="0.25">
      <c r="A16" t="s">
        <v>142</v>
      </c>
      <c r="B16" t="s">
        <v>46</v>
      </c>
      <c r="C16" s="41">
        <v>3.6970000000000001</v>
      </c>
      <c r="D16" s="41">
        <v>3.7930000000000001</v>
      </c>
      <c r="E16" s="22">
        <v>5.7869999999999999</v>
      </c>
      <c r="F16" s="1" t="str">
        <f>HYPERLINK("http://www.ncbi.nlm.nih.gov/pubmed/?term=Gga3","Gga3")</f>
        <v>Gga3</v>
      </c>
    </row>
    <row r="17" spans="1:6" x14ac:dyDescent="0.25">
      <c r="A17" t="s">
        <v>627</v>
      </c>
      <c r="B17" t="s">
        <v>732</v>
      </c>
      <c r="C17" s="17">
        <v>5.4779999999999998</v>
      </c>
      <c r="D17" s="22">
        <v>6.3639999999999999</v>
      </c>
      <c r="E17" s="3">
        <v>8.2370000000000001</v>
      </c>
      <c r="F17" s="1" t="str">
        <f>HYPERLINK("http://www.ncbi.nlm.nih.gov/pubmed/?term=Npc2","Npc2")</f>
        <v>Npc2</v>
      </c>
    </row>
    <row r="18" spans="1:6" x14ac:dyDescent="0.25">
      <c r="A18" t="s">
        <v>1631</v>
      </c>
      <c r="B18" t="s">
        <v>1596</v>
      </c>
      <c r="C18" s="21">
        <v>2.2469999999999999</v>
      </c>
      <c r="D18" s="23">
        <v>2.911</v>
      </c>
      <c r="E18" s="17">
        <v>4.6719999999999997</v>
      </c>
      <c r="F18" s="1" t="str">
        <f>HYPERLINK("http://www.ncbi.nlm.nih.gov/pubmed/?term=Entpd4","Entpd4")</f>
        <v>Entpd4</v>
      </c>
    </row>
    <row r="19" spans="1:6" x14ac:dyDescent="0.25">
      <c r="A19" t="s">
        <v>341</v>
      </c>
      <c r="B19" t="s">
        <v>910</v>
      </c>
      <c r="C19" s="41">
        <v>4.0339999999999998</v>
      </c>
      <c r="D19" s="41">
        <v>4.4470000000000001</v>
      </c>
      <c r="E19" s="17">
        <v>5.4820000000000002</v>
      </c>
      <c r="F19" s="1" t="str">
        <f>HYPERLINK("http://www.ncbi.nlm.nih.gov/pubmed/?term=Gba","Gba")</f>
        <v>Gba</v>
      </c>
    </row>
    <row r="20" spans="1:6" x14ac:dyDescent="0.25">
      <c r="A20" t="s">
        <v>1356</v>
      </c>
      <c r="B20" t="s">
        <v>497</v>
      </c>
      <c r="C20" s="41">
        <v>3.82</v>
      </c>
      <c r="D20" s="22">
        <v>6.4189999999999996</v>
      </c>
      <c r="E20" s="45">
        <v>9.391</v>
      </c>
      <c r="F20" s="1" t="str">
        <f>HYPERLINK("http://www.ncbi.nlm.nih.gov/pubmed/?term=Laptm5","Laptm5")</f>
        <v>Laptm5</v>
      </c>
    </row>
    <row r="21" spans="1:6" x14ac:dyDescent="0.25">
      <c r="A21" t="s">
        <v>545</v>
      </c>
      <c r="B21" t="s">
        <v>323</v>
      </c>
      <c r="C21" s="21">
        <v>2.278</v>
      </c>
      <c r="D21" s="17">
        <v>5.4749999999999996</v>
      </c>
      <c r="E21" s="22">
        <v>5.7039999999999997</v>
      </c>
      <c r="F21" s="1" t="str">
        <f>HYPERLINK("http://www.ncbi.nlm.nih.gov/pubmed/?term=Ctsc","Ctsc")</f>
        <v>Ctsc</v>
      </c>
    </row>
    <row r="22" spans="1:6" x14ac:dyDescent="0.25">
      <c r="A22" t="s">
        <v>1501</v>
      </c>
      <c r="B22" t="s">
        <v>1866</v>
      </c>
      <c r="C22" s="21">
        <v>2.0649999999999999</v>
      </c>
      <c r="D22" s="23">
        <v>3.2669999999999999</v>
      </c>
      <c r="E22" s="23">
        <v>3.3809999999999998</v>
      </c>
      <c r="F22" s="1" t="str">
        <f>HYPERLINK("http://www.ncbi.nlm.nih.gov/pubmed/?term=Cln3","Cln3")</f>
        <v>Cln3</v>
      </c>
    </row>
    <row r="23" spans="1:6" x14ac:dyDescent="0.25">
      <c r="A23" t="s">
        <v>1525</v>
      </c>
      <c r="B23" t="s">
        <v>1972</v>
      </c>
      <c r="C23" s="21">
        <v>1.6870000000000001</v>
      </c>
      <c r="D23" s="21">
        <v>2.4500000000000002</v>
      </c>
      <c r="E23" s="23">
        <v>3.46</v>
      </c>
      <c r="F23" s="1" t="str">
        <f>HYPERLINK("http://www.ncbi.nlm.nih.gov/pubmed/?term=Ap3m2","Ap3m2")</f>
        <v>Ap3m2</v>
      </c>
    </row>
    <row r="24" spans="1:6" x14ac:dyDescent="0.25">
      <c r="A24" t="s">
        <v>652</v>
      </c>
      <c r="B24" t="s">
        <v>1527</v>
      </c>
      <c r="C24" s="26">
        <v>0.2082</v>
      </c>
      <c r="D24" s="17">
        <v>5.093</v>
      </c>
      <c r="E24" s="3">
        <v>8.3290000000000006</v>
      </c>
      <c r="F24" s="1" t="str">
        <f>HYPERLINK("http://www.ncbi.nlm.nih.gov/pubmed/?term=Ctsh","Ctsh")</f>
        <v>Ctsh</v>
      </c>
    </row>
    <row r="25" spans="1:6" x14ac:dyDescent="0.25">
      <c r="A25" t="s">
        <v>1423</v>
      </c>
      <c r="B25" t="s">
        <v>657</v>
      </c>
      <c r="C25" s="41">
        <v>4.0380000000000003</v>
      </c>
      <c r="D25" s="41">
        <v>4.2839999999999998</v>
      </c>
      <c r="E25" s="17">
        <v>5.1950000000000003</v>
      </c>
      <c r="F25" s="1" t="str">
        <f>HYPERLINK("http://www.ncbi.nlm.nih.gov/pubmed/?term=Gnptg","Gnptg")</f>
        <v>Gnptg</v>
      </c>
    </row>
    <row r="26" spans="1:6" x14ac:dyDescent="0.25">
      <c r="A26" t="s">
        <v>235</v>
      </c>
      <c r="B26" t="s">
        <v>1543</v>
      </c>
      <c r="C26" s="21">
        <v>1.6619999999999999</v>
      </c>
      <c r="D26" s="17">
        <v>5.0519999999999996</v>
      </c>
      <c r="E26" s="3">
        <v>7.556</v>
      </c>
      <c r="F26" s="1" t="str">
        <f>HYPERLINK("http://www.ncbi.nlm.nih.gov/pubmed/?term=Ctss","Ctss")</f>
        <v>Ctss</v>
      </c>
    </row>
    <row r="27" spans="1:6" x14ac:dyDescent="0.25">
      <c r="A27" t="s">
        <v>1705</v>
      </c>
      <c r="B27" t="s">
        <v>1284</v>
      </c>
      <c r="C27" s="38">
        <v>1.1319999999999999</v>
      </c>
      <c r="D27" s="23">
        <v>3.1</v>
      </c>
      <c r="E27" s="41">
        <v>4.415</v>
      </c>
      <c r="F27" s="1" t="str">
        <f>HYPERLINK("http://www.ncbi.nlm.nih.gov/pubmed/?term=Ap1g2","Ap1g2")</f>
        <v>Ap1g2</v>
      </c>
    </row>
    <row r="28" spans="1:6" x14ac:dyDescent="0.25">
      <c r="A28" t="s">
        <v>1736</v>
      </c>
      <c r="B28" t="s">
        <v>786</v>
      </c>
      <c r="C28" s="23">
        <v>3.3929999999999998</v>
      </c>
      <c r="D28" s="41">
        <v>4.2190000000000003</v>
      </c>
      <c r="E28" s="10">
        <v>7.3019999999999996</v>
      </c>
      <c r="F28" s="1" t="str">
        <f>HYPERLINK("http://www.ncbi.nlm.nih.gov/pubmed/?term=Arsb","Arsb")</f>
        <v>Arsb</v>
      </c>
    </row>
    <row r="29" spans="1:6" x14ac:dyDescent="0.25">
      <c r="A29" t="s">
        <v>956</v>
      </c>
      <c r="B29" t="s">
        <v>1757</v>
      </c>
      <c r="C29" s="41">
        <v>3.7040000000000002</v>
      </c>
      <c r="D29" s="41">
        <v>3.7519999999999998</v>
      </c>
      <c r="E29" s="17">
        <v>4.976</v>
      </c>
      <c r="F29" s="1" t="str">
        <f>HYPERLINK("http://www.ncbi.nlm.nih.gov/pubmed/?term=Glb1","Glb1")</f>
        <v>Glb1</v>
      </c>
    </row>
    <row r="30" spans="1:6" x14ac:dyDescent="0.25">
      <c r="A30" t="s">
        <v>1232</v>
      </c>
      <c r="B30" t="s">
        <v>63</v>
      </c>
      <c r="C30" s="38">
        <v>0.52249999999999996</v>
      </c>
      <c r="D30" s="21">
        <v>2.2850000000000001</v>
      </c>
      <c r="E30" s="41">
        <v>4.1829999999999998</v>
      </c>
      <c r="F30" s="1" t="str">
        <f>HYPERLINK("http://www.ncbi.nlm.nih.gov/pubmed/?term=Slc17a5","Slc17a5")</f>
        <v>Slc17a5</v>
      </c>
    </row>
    <row r="31" spans="1:6" x14ac:dyDescent="0.25">
      <c r="A31" t="s">
        <v>64</v>
      </c>
      <c r="B31" t="s">
        <v>1536</v>
      </c>
      <c r="C31" s="22">
        <v>6.4889999999999999</v>
      </c>
      <c r="D31" s="10">
        <v>6.6550000000000002</v>
      </c>
      <c r="E31" s="17">
        <v>5.0279999999999996</v>
      </c>
      <c r="F31" s="1" t="str">
        <f>HYPERLINK("http://www.ncbi.nlm.nih.gov/pubmed/?term=Ctsd","Ctsd")</f>
        <v>Ctsd</v>
      </c>
    </row>
    <row r="32" spans="1:6" x14ac:dyDescent="0.25">
      <c r="A32" t="s">
        <v>1892</v>
      </c>
      <c r="B32" t="s">
        <v>667</v>
      </c>
      <c r="C32" s="41">
        <v>3.657</v>
      </c>
      <c r="D32" s="17">
        <v>4.867</v>
      </c>
      <c r="E32" s="41">
        <v>3.5459999999999998</v>
      </c>
      <c r="F32" s="1" t="str">
        <f>HYPERLINK("http://www.ncbi.nlm.nih.gov/pubmed/?term=Sort1","Sort1")</f>
        <v>Sort1</v>
      </c>
    </row>
    <row r="33" spans="1:6" x14ac:dyDescent="0.25">
      <c r="A33" t="s">
        <v>1043</v>
      </c>
      <c r="B33" t="s">
        <v>1537</v>
      </c>
      <c r="C33" s="17">
        <v>4.7699999999999996</v>
      </c>
      <c r="D33" s="41">
        <v>4.4960000000000004</v>
      </c>
      <c r="E33" s="23">
        <v>2.8730000000000002</v>
      </c>
      <c r="F33" s="1" t="str">
        <f>HYPERLINK("http://www.ncbi.nlm.nih.gov/pubmed/?term=Tcirg1","Tcirg1")</f>
        <v>Tcirg1</v>
      </c>
    </row>
    <row r="34" spans="1:6" x14ac:dyDescent="0.25">
      <c r="A34" t="s">
        <v>817</v>
      </c>
      <c r="B34" t="s">
        <v>2099</v>
      </c>
      <c r="C34" s="10">
        <v>6.8529999999999998</v>
      </c>
      <c r="D34" s="22">
        <v>5.9080000000000004</v>
      </c>
      <c r="E34" s="17">
        <v>4.72</v>
      </c>
      <c r="F34" s="1" t="str">
        <f>HYPERLINK("http://www.ncbi.nlm.nih.gov/pubmed/?term=Ctsa","Ctsa")</f>
        <v>Ctsa</v>
      </c>
    </row>
    <row r="35" spans="1:6" x14ac:dyDescent="0.25">
      <c r="A35" t="s">
        <v>1409</v>
      </c>
      <c r="B35" t="s">
        <v>1456</v>
      </c>
      <c r="C35" s="3">
        <v>8.0220000000000002</v>
      </c>
      <c r="D35" s="10">
        <v>7.3159999999999998</v>
      </c>
      <c r="E35" s="22">
        <v>5.9729999999999999</v>
      </c>
      <c r="F35" s="1" t="str">
        <f>HYPERLINK("http://www.ncbi.nlm.nih.gov/pubmed/?term=Laptm4a","Laptm4a")</f>
        <v>Laptm4a</v>
      </c>
    </row>
    <row r="36" spans="1:6" x14ac:dyDescent="0.25">
      <c r="A36" t="s">
        <v>1360</v>
      </c>
      <c r="B36" t="s">
        <v>1243</v>
      </c>
      <c r="C36" s="41">
        <v>4.4649999999999999</v>
      </c>
      <c r="D36" s="23">
        <v>3.4020000000000001</v>
      </c>
      <c r="E36" s="23">
        <v>3.242</v>
      </c>
      <c r="F36" s="1" t="str">
        <f>HYPERLINK("http://www.ncbi.nlm.nih.gov/pubmed/?term=Lgmn","Lgmn")</f>
        <v>Lgmn</v>
      </c>
    </row>
    <row r="37" spans="1:6" x14ac:dyDescent="0.25">
      <c r="A37" t="s">
        <v>1024</v>
      </c>
      <c r="B37" t="s">
        <v>1528</v>
      </c>
      <c r="C37" s="43">
        <v>12.53</v>
      </c>
      <c r="D37" s="45">
        <v>8.9949999999999992</v>
      </c>
      <c r="E37" s="22">
        <v>5.8230000000000004</v>
      </c>
      <c r="F37" s="1" t="str">
        <f>HYPERLINK("http://www.ncbi.nlm.nih.gov/pubmed/?term=Ctsl","Ctsl")</f>
        <v>Ctsl</v>
      </c>
    </row>
    <row r="38" spans="1:6" x14ac:dyDescent="0.25">
      <c r="A38" t="s">
        <v>1241</v>
      </c>
      <c r="B38" t="s">
        <v>1698</v>
      </c>
      <c r="C38" s="10">
        <v>7.077</v>
      </c>
      <c r="D38" s="22">
        <v>5.8869999999999996</v>
      </c>
      <c r="E38" s="41">
        <v>4.28</v>
      </c>
      <c r="F38" s="1" t="str">
        <f>HYPERLINK("http://www.ncbi.nlm.nih.gov/pubmed/?term=Hexb","Hexb")</f>
        <v>Hexb</v>
      </c>
    </row>
    <row r="39" spans="1:6" x14ac:dyDescent="0.25">
      <c r="A39" t="s">
        <v>430</v>
      </c>
      <c r="B39" t="s">
        <v>1458</v>
      </c>
      <c r="C39" s="17">
        <v>5.0720000000000001</v>
      </c>
      <c r="D39" s="41">
        <v>4.25</v>
      </c>
      <c r="E39" s="41">
        <v>3.76</v>
      </c>
      <c r="F39" s="1" t="str">
        <f>HYPERLINK("http://www.ncbi.nlm.nih.gov/pubmed/?term=Laptm4b","Laptm4b")</f>
        <v>Laptm4b</v>
      </c>
    </row>
    <row r="40" spans="1:6" x14ac:dyDescent="0.25">
      <c r="A40" t="s">
        <v>1036</v>
      </c>
      <c r="B40" t="s">
        <v>1260</v>
      </c>
      <c r="C40" s="17">
        <v>5.14</v>
      </c>
      <c r="D40" s="23">
        <v>3.3260000000000001</v>
      </c>
      <c r="E40" s="21">
        <v>2.34</v>
      </c>
      <c r="F40" s="1" t="str">
        <f>HYPERLINK("http://www.ncbi.nlm.nih.gov/pubmed/?term=Slc11a2","Slc11a2")</f>
        <v>Slc11a2</v>
      </c>
    </row>
    <row r="41" spans="1:6" x14ac:dyDescent="0.25">
      <c r="A41" t="s">
        <v>1843</v>
      </c>
      <c r="B41" t="s">
        <v>1719</v>
      </c>
      <c r="C41" s="41">
        <v>3.8580000000000001</v>
      </c>
      <c r="D41" s="21">
        <v>2.0779999999999998</v>
      </c>
      <c r="E41" s="21">
        <v>1.649</v>
      </c>
      <c r="F41" s="1" t="str">
        <f>HYPERLINK("http://www.ncbi.nlm.nih.gov/pubmed/?term=Lipa","Lipa")</f>
        <v>Lipa</v>
      </c>
    </row>
    <row r="42" spans="1:6" x14ac:dyDescent="0.25">
      <c r="A42" t="s">
        <v>600</v>
      </c>
      <c r="B42" t="s">
        <v>458</v>
      </c>
      <c r="C42" s="17">
        <v>5.2969999999999997</v>
      </c>
      <c r="D42" s="17">
        <v>4.7549999999999999</v>
      </c>
      <c r="E42" s="41">
        <v>4.1429999999999998</v>
      </c>
      <c r="F42" s="1" t="str">
        <f>HYPERLINK("http://www.ncbi.nlm.nih.gov/pubmed/?term=Ppt1","Ppt1")</f>
        <v>Ppt1</v>
      </c>
    </row>
    <row r="43" spans="1:6" x14ac:dyDescent="0.25">
      <c r="A43" t="s">
        <v>449</v>
      </c>
      <c r="B43" t="s">
        <v>1561</v>
      </c>
      <c r="C43" s="22">
        <v>6.109</v>
      </c>
      <c r="D43" s="22">
        <v>5.7329999999999997</v>
      </c>
      <c r="E43" s="41">
        <v>3.887</v>
      </c>
      <c r="F43" s="1" t="str">
        <f>HYPERLINK("http://www.ncbi.nlm.nih.gov/pubmed/?term=Scarb2","Scarb2")</f>
        <v>Scarb2</v>
      </c>
    </row>
    <row r="44" spans="1:6" x14ac:dyDescent="0.25">
      <c r="A44" t="s">
        <v>1808</v>
      </c>
      <c r="B44" t="s">
        <v>47</v>
      </c>
      <c r="C44" s="17">
        <v>4.9290000000000003</v>
      </c>
      <c r="D44" s="41">
        <v>3.8010000000000002</v>
      </c>
      <c r="E44" s="41">
        <v>3.7250000000000001</v>
      </c>
      <c r="F44" s="1" t="str">
        <f>HYPERLINK("http://www.ncbi.nlm.nih.gov/pubmed/?term=Gga2","Gga2")</f>
        <v>Gga2</v>
      </c>
    </row>
    <row r="45" spans="1:6" x14ac:dyDescent="0.25">
      <c r="A45" t="s">
        <v>382</v>
      </c>
      <c r="B45" t="s">
        <v>1112</v>
      </c>
      <c r="C45" s="17">
        <v>5.4329999999999998</v>
      </c>
      <c r="D45" s="41">
        <v>4.1429999999999998</v>
      </c>
      <c r="E45" s="41">
        <v>3.762</v>
      </c>
      <c r="F45" s="1" t="str">
        <f>HYPERLINK("http://www.ncbi.nlm.nih.gov/pubmed/?term=Asah1","Asah1")</f>
        <v>Asah1</v>
      </c>
    </row>
    <row r="46" spans="1:6" x14ac:dyDescent="0.25">
      <c r="A46" t="s">
        <v>891</v>
      </c>
      <c r="B46" t="s">
        <v>1540</v>
      </c>
      <c r="C46" s="10">
        <v>7.1710000000000003</v>
      </c>
      <c r="D46" s="41">
        <v>3.9780000000000002</v>
      </c>
      <c r="E46" s="23">
        <v>3.1669999999999998</v>
      </c>
      <c r="F46" s="1" t="str">
        <f>HYPERLINK("http://www.ncbi.nlm.nih.gov/pubmed/?term=Hgsnat","Hgsnat")</f>
        <v>Hgsnat</v>
      </c>
    </row>
    <row r="47" spans="1:6" x14ac:dyDescent="0.25">
      <c r="A47" t="s">
        <v>911</v>
      </c>
      <c r="B47" t="s">
        <v>1166</v>
      </c>
      <c r="C47" s="22">
        <v>5.8419999999999996</v>
      </c>
      <c r="D47" s="17">
        <v>4.8109999999999999</v>
      </c>
      <c r="E47" s="10">
        <v>6.6239999999999997</v>
      </c>
      <c r="F47" s="1" t="str">
        <f>HYPERLINK("http://www.ncbi.nlm.nih.gov/pubmed/?term=Atp6v0a1","Atp6v0a1")</f>
        <v>Atp6v0a1</v>
      </c>
    </row>
    <row r="48" spans="1:6" x14ac:dyDescent="0.25">
      <c r="A48" t="s">
        <v>1298</v>
      </c>
      <c r="B48" t="s">
        <v>2007</v>
      </c>
      <c r="C48" s="22">
        <v>5.6059999999999999</v>
      </c>
      <c r="D48" s="17">
        <v>5.4770000000000003</v>
      </c>
      <c r="E48" s="10">
        <v>6.5170000000000003</v>
      </c>
      <c r="F48" s="1" t="str">
        <f>HYPERLINK("http://www.ncbi.nlm.nih.gov/pubmed/?term=Atp6v0b","Atp6v0b")</f>
        <v>Atp6v0b</v>
      </c>
    </row>
    <row r="49" spans="1:6" x14ac:dyDescent="0.25">
      <c r="A49" t="s">
        <v>1706</v>
      </c>
      <c r="B49" t="s">
        <v>906</v>
      </c>
      <c r="C49" s="10">
        <v>6.8090000000000002</v>
      </c>
      <c r="D49" s="22">
        <v>5.9749999999999996</v>
      </c>
      <c r="E49" s="10">
        <v>7.0019999999999998</v>
      </c>
      <c r="F49" s="1" t="str">
        <f>HYPERLINK("http://www.ncbi.nlm.nih.gov/pubmed/?term=Cltc","Cltc")</f>
        <v>Cltc</v>
      </c>
    </row>
    <row r="50" spans="1:6" x14ac:dyDescent="0.25">
      <c r="A50" t="s">
        <v>1264</v>
      </c>
      <c r="B50" t="s">
        <v>1221</v>
      </c>
      <c r="C50" s="45">
        <v>9.0220000000000002</v>
      </c>
      <c r="D50" s="10">
        <v>6.65</v>
      </c>
      <c r="E50" s="10">
        <v>6.9980000000000002</v>
      </c>
      <c r="F50" s="1" t="str">
        <f>HYPERLINK("http://www.ncbi.nlm.nih.gov/pubmed/?term=Lamp2","Lamp2")</f>
        <v>Lamp2</v>
      </c>
    </row>
    <row r="51" spans="1:6" x14ac:dyDescent="0.25">
      <c r="A51" t="s">
        <v>1239</v>
      </c>
      <c r="B51" t="s">
        <v>412</v>
      </c>
      <c r="C51" s="22">
        <v>6.0289999999999999</v>
      </c>
      <c r="D51" s="17">
        <v>4.5380000000000003</v>
      </c>
      <c r="E51" s="22">
        <v>5.6740000000000004</v>
      </c>
      <c r="F51" s="1" t="str">
        <f>HYPERLINK("http://www.ncbi.nlm.nih.gov/pubmed/?term=Gaa","Gaa")</f>
        <v>Gaa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2131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59</v>
      </c>
      <c r="B5" t="s">
        <v>1046</v>
      </c>
      <c r="C5" s="12">
        <v>1.5660000000000001</v>
      </c>
      <c r="D5" s="48">
        <v>3.6150000000000002</v>
      </c>
      <c r="E5" s="32">
        <v>3.4790000000000001</v>
      </c>
      <c r="F5" s="1" t="str">
        <f>HYPERLINK("http://www.ncbi.nlm.nih.gov/pubmed/?term=Chmp4c","Chmp4c")</f>
        <v>Chmp4c</v>
      </c>
    </row>
    <row r="6" spans="1:6" x14ac:dyDescent="0.25">
      <c r="A6" t="s">
        <v>85</v>
      </c>
      <c r="B6" t="s">
        <v>1966</v>
      </c>
      <c r="C6" s="22">
        <v>4.7370000000000001</v>
      </c>
      <c r="D6" s="24">
        <v>8.1150000000000002</v>
      </c>
      <c r="E6" s="24">
        <v>7.9050000000000002</v>
      </c>
      <c r="F6" s="1" t="str">
        <f>HYPERLINK("http://www.ncbi.nlm.nih.gov/pubmed/?term=H2-Q6","H2-Q6")</f>
        <v>H2-Q6</v>
      </c>
    </row>
    <row r="7" spans="1:6" x14ac:dyDescent="0.25">
      <c r="A7" t="s">
        <v>1975</v>
      </c>
      <c r="B7" t="s">
        <v>1616</v>
      </c>
      <c r="C7" s="48">
        <v>4.4249999999999998</v>
      </c>
      <c r="D7" s="29">
        <v>6.9690000000000003</v>
      </c>
      <c r="E7" s="22">
        <v>5.39</v>
      </c>
      <c r="F7" s="1" t="str">
        <f>HYPERLINK("http://www.ncbi.nlm.nih.gov/pubmed/?term=Hspa1a","Hspa1a")</f>
        <v>Hspa1a</v>
      </c>
    </row>
    <row r="8" spans="1:6" x14ac:dyDescent="0.25">
      <c r="A8" t="s">
        <v>877</v>
      </c>
      <c r="B8" t="s">
        <v>1361</v>
      </c>
      <c r="C8" s="26">
        <v>0.43819999999999998</v>
      </c>
      <c r="D8" s="48">
        <v>4.4859999999999998</v>
      </c>
      <c r="E8" s="22">
        <v>5.1130000000000004</v>
      </c>
      <c r="F8" s="1" t="str">
        <f>HYPERLINK("http://www.ncbi.nlm.nih.gov/pubmed/?term=Kit","Kit")</f>
        <v>Kit</v>
      </c>
    </row>
    <row r="9" spans="1:6" x14ac:dyDescent="0.25">
      <c r="A9" t="s">
        <v>926</v>
      </c>
      <c r="B9" t="s">
        <v>1104</v>
      </c>
      <c r="C9" s="48">
        <v>3.8570000000000002</v>
      </c>
      <c r="D9" s="22">
        <v>4.992</v>
      </c>
      <c r="E9" s="25">
        <v>5.6529999999999996</v>
      </c>
      <c r="F9" s="1" t="str">
        <f>HYPERLINK("http://www.ncbi.nlm.nih.gov/pubmed/?term=H2-M3","H2-M3")</f>
        <v>H2-M3</v>
      </c>
    </row>
    <row r="10" spans="1:6" x14ac:dyDescent="0.25">
      <c r="A10" t="s">
        <v>1861</v>
      </c>
      <c r="B10" t="s">
        <v>1105</v>
      </c>
      <c r="C10" s="48">
        <v>4.3949999999999996</v>
      </c>
      <c r="D10" s="29">
        <v>6.8019999999999996</v>
      </c>
      <c r="E10" s="29">
        <v>7.444</v>
      </c>
      <c r="F10" s="1" t="str">
        <f>HYPERLINK("http://www.ncbi.nlm.nih.gov/pubmed/?term=H2-M2","H2-M2")</f>
        <v>H2-M2</v>
      </c>
    </row>
    <row r="11" spans="1:6" x14ac:dyDescent="0.25">
      <c r="A11" t="s">
        <v>1515</v>
      </c>
      <c r="B11" t="s">
        <v>1479</v>
      </c>
      <c r="C11" s="22">
        <v>5.26</v>
      </c>
      <c r="D11" s="22">
        <v>5.3529999999999998</v>
      </c>
      <c r="E11" s="25">
        <v>6.476</v>
      </c>
      <c r="F11" s="1" t="str">
        <f>HYPERLINK("http://www.ncbi.nlm.nih.gov/pubmed/?term=Agap3","Agap3")</f>
        <v>Agap3</v>
      </c>
    </row>
    <row r="12" spans="1:6" x14ac:dyDescent="0.25">
      <c r="A12" t="s">
        <v>1575</v>
      </c>
      <c r="B12" t="s">
        <v>417</v>
      </c>
      <c r="C12" s="22">
        <v>4.6769999999999996</v>
      </c>
      <c r="D12" s="22">
        <v>4.9870000000000001</v>
      </c>
      <c r="E12" s="29">
        <v>7.4969999999999999</v>
      </c>
      <c r="F12" s="1" t="str">
        <f>HYPERLINK("http://www.ncbi.nlm.nih.gov/pubmed/?term=Ehd1","Ehd1")</f>
        <v>Ehd1</v>
      </c>
    </row>
    <row r="13" spans="1:6" x14ac:dyDescent="0.25">
      <c r="A13" t="s">
        <v>1655</v>
      </c>
      <c r="B13" t="s">
        <v>260</v>
      </c>
      <c r="C13" s="26">
        <v>-4.9090000000000002E-2</v>
      </c>
      <c r="D13" s="48">
        <v>3.6469999999999998</v>
      </c>
      <c r="E13" s="29">
        <v>6.85</v>
      </c>
      <c r="F13" s="1" t="str">
        <f>HYPERLINK("http://www.ncbi.nlm.nih.gov/pubmed/?term=Pip5k1b","Pip5k1b")</f>
        <v>Pip5k1b</v>
      </c>
    </row>
    <row r="14" spans="1:6" x14ac:dyDescent="0.25">
      <c r="A14" t="s">
        <v>2023</v>
      </c>
      <c r="B14" t="s">
        <v>897</v>
      </c>
      <c r="C14" s="48">
        <v>4.37</v>
      </c>
      <c r="D14" s="22">
        <v>5.0970000000000004</v>
      </c>
      <c r="E14" s="22">
        <v>5.4119999999999999</v>
      </c>
      <c r="F14" s="1" t="str">
        <f>HYPERLINK("http://www.ncbi.nlm.nih.gov/pubmed/?term=Hras1","Hras1")</f>
        <v>Hras1</v>
      </c>
    </row>
    <row r="15" spans="1:6" x14ac:dyDescent="0.25">
      <c r="A15" t="s">
        <v>375</v>
      </c>
      <c r="B15" t="s">
        <v>741</v>
      </c>
      <c r="C15" s="12">
        <v>1.6140000000000001</v>
      </c>
      <c r="D15" s="48">
        <v>3.7189999999999999</v>
      </c>
      <c r="E15" s="48">
        <v>4.2270000000000003</v>
      </c>
      <c r="F15" s="1" t="str">
        <f>HYPERLINK("http://www.ncbi.nlm.nih.gov/pubmed/?term=Il2ra","Il2ra")</f>
        <v>Il2ra</v>
      </c>
    </row>
    <row r="16" spans="1:6" x14ac:dyDescent="0.25">
      <c r="A16" t="s">
        <v>1958</v>
      </c>
      <c r="B16" t="s">
        <v>1965</v>
      </c>
      <c r="C16" s="22">
        <v>4.9290000000000003</v>
      </c>
      <c r="D16" s="22">
        <v>5.2320000000000002</v>
      </c>
      <c r="E16" s="25">
        <v>6.2359999999999998</v>
      </c>
      <c r="F16" s="1" t="str">
        <f>HYPERLINK("http://www.ncbi.nlm.nih.gov/pubmed/?term=Src","Src")</f>
        <v>Src</v>
      </c>
    </row>
    <row r="17" spans="1:6" x14ac:dyDescent="0.25">
      <c r="A17" t="s">
        <v>1474</v>
      </c>
      <c r="B17" t="s">
        <v>1976</v>
      </c>
      <c r="C17" s="48">
        <v>3.9710000000000001</v>
      </c>
      <c r="D17" s="22">
        <v>4.7439999999999998</v>
      </c>
      <c r="E17" s="29">
        <v>6.95</v>
      </c>
      <c r="F17" s="1" t="str">
        <f>HYPERLINK("http://www.ncbi.nlm.nih.gov/pubmed/?term=Pld1","Pld1")</f>
        <v>Pld1</v>
      </c>
    </row>
    <row r="18" spans="1:6" x14ac:dyDescent="0.25">
      <c r="A18" t="s">
        <v>1286</v>
      </c>
      <c r="B18" t="s">
        <v>976</v>
      </c>
      <c r="C18" s="32">
        <v>3.1080000000000001</v>
      </c>
      <c r="D18" s="48">
        <v>3.6</v>
      </c>
      <c r="E18" s="22">
        <v>5.2469999999999999</v>
      </c>
      <c r="F18" s="1" t="str">
        <f>HYPERLINK("http://www.ncbi.nlm.nih.gov/pubmed/?term=Dnajc6","Dnajc6")</f>
        <v>Dnajc6</v>
      </c>
    </row>
    <row r="19" spans="1:6" x14ac:dyDescent="0.25">
      <c r="A19" t="s">
        <v>1667</v>
      </c>
      <c r="B19" t="s">
        <v>574</v>
      </c>
      <c r="C19" s="26">
        <v>-1.9890000000000001</v>
      </c>
      <c r="D19" s="32">
        <v>2.7</v>
      </c>
      <c r="E19" s="32">
        <v>3.3679999999999999</v>
      </c>
      <c r="F19" s="1" t="str">
        <f>HYPERLINK("http://www.ncbi.nlm.nih.gov/pubmed/?term=Ret","Ret")</f>
        <v>Ret</v>
      </c>
    </row>
    <row r="20" spans="1:6" x14ac:dyDescent="0.25">
      <c r="A20" t="s">
        <v>1953</v>
      </c>
      <c r="B20" t="s">
        <v>1769</v>
      </c>
      <c r="C20" s="20">
        <v>1.3220000000000001</v>
      </c>
      <c r="D20" s="32">
        <v>2.734</v>
      </c>
      <c r="E20" s="22">
        <v>5.2220000000000004</v>
      </c>
      <c r="F20" s="1" t="str">
        <f>HYPERLINK("http://www.ncbi.nlm.nih.gov/pubmed/?term=Psd3","Psd3")</f>
        <v>Psd3</v>
      </c>
    </row>
    <row r="21" spans="1:6" x14ac:dyDescent="0.25">
      <c r="A21" t="s">
        <v>2145</v>
      </c>
      <c r="B21" t="s">
        <v>743</v>
      </c>
      <c r="C21" s="32">
        <v>2.806</v>
      </c>
      <c r="D21" s="32">
        <v>3.2530000000000001</v>
      </c>
      <c r="E21" s="29">
        <v>7.3730000000000002</v>
      </c>
      <c r="F21" s="1" t="str">
        <f>HYPERLINK("http://www.ncbi.nlm.nih.gov/pubmed/?term=Il2rg","Il2rg")</f>
        <v>Il2rg</v>
      </c>
    </row>
    <row r="22" spans="1:6" x14ac:dyDescent="0.25">
      <c r="A22" t="s">
        <v>717</v>
      </c>
      <c r="B22" t="s">
        <v>2123</v>
      </c>
      <c r="C22" s="12">
        <v>1.7629999999999999</v>
      </c>
      <c r="D22" s="48">
        <v>3.7290000000000001</v>
      </c>
      <c r="E22" s="25">
        <v>5.7249999999999996</v>
      </c>
      <c r="F22" s="1" t="str">
        <f>HYPERLINK("http://www.ncbi.nlm.nih.gov/pubmed/?term=Rab11fip1","Rab11fip1")</f>
        <v>Rab11fip1</v>
      </c>
    </row>
    <row r="23" spans="1:6" x14ac:dyDescent="0.25">
      <c r="A23" t="s">
        <v>2100</v>
      </c>
      <c r="B23" t="s">
        <v>1113</v>
      </c>
      <c r="C23" s="48">
        <v>3.7949999999999999</v>
      </c>
      <c r="D23" s="48">
        <v>4.2859999999999996</v>
      </c>
      <c r="E23" s="22">
        <v>4.827</v>
      </c>
      <c r="F23" s="1" t="str">
        <f>HYPERLINK("http://www.ncbi.nlm.nih.gov/pubmed/?term=Arap1","Arap1")</f>
        <v>Arap1</v>
      </c>
    </row>
    <row r="24" spans="1:6" x14ac:dyDescent="0.25">
      <c r="A24" t="s">
        <v>2199</v>
      </c>
      <c r="B24" t="s">
        <v>1349</v>
      </c>
      <c r="C24" s="48">
        <v>3.9180000000000001</v>
      </c>
      <c r="D24" s="48">
        <v>4.0129999999999999</v>
      </c>
      <c r="E24" s="25">
        <v>5.5759999999999996</v>
      </c>
      <c r="F24" s="1" t="str">
        <f>HYPERLINK("http://www.ncbi.nlm.nih.gov/pubmed/?term=Iqsec1","Iqsec1")</f>
        <v>Iqsec1</v>
      </c>
    </row>
    <row r="25" spans="1:6" x14ac:dyDescent="0.25">
      <c r="A25" t="s">
        <v>348</v>
      </c>
      <c r="B25" t="s">
        <v>827</v>
      </c>
      <c r="C25" s="32">
        <v>3.177</v>
      </c>
      <c r="D25" s="48">
        <v>3.758</v>
      </c>
      <c r="E25" s="48">
        <v>4.1319999999999997</v>
      </c>
      <c r="F25" s="1" t="str">
        <f>HYPERLINK("http://www.ncbi.nlm.nih.gov/pubmed/?term=Eea1","Eea1")</f>
        <v>Eea1</v>
      </c>
    </row>
    <row r="26" spans="1:6" x14ac:dyDescent="0.25">
      <c r="A26" t="s">
        <v>66</v>
      </c>
      <c r="B26" t="s">
        <v>385</v>
      </c>
      <c r="C26" s="12">
        <v>1.5640000000000001</v>
      </c>
      <c r="D26" s="12">
        <v>1.84</v>
      </c>
      <c r="E26" s="32">
        <v>3.476</v>
      </c>
      <c r="F26" s="1" t="str">
        <f>HYPERLINK("http://www.ncbi.nlm.nih.gov/pubmed/?term=Dnm3","Dnm3")</f>
        <v>Dnm3</v>
      </c>
    </row>
    <row r="27" spans="1:6" x14ac:dyDescent="0.25">
      <c r="A27" t="s">
        <v>1913</v>
      </c>
      <c r="B27" t="s">
        <v>550</v>
      </c>
      <c r="C27" s="20">
        <v>1.4730000000000001</v>
      </c>
      <c r="D27" s="32">
        <v>2.86</v>
      </c>
      <c r="E27" s="48">
        <v>3.766</v>
      </c>
      <c r="F27" s="1" t="str">
        <f>HYPERLINK("http://www.ncbi.nlm.nih.gov/pubmed/?term=Adrb2","Adrb2")</f>
        <v>Adrb2</v>
      </c>
    </row>
    <row r="28" spans="1:6" x14ac:dyDescent="0.25">
      <c r="A28" t="s">
        <v>1943</v>
      </c>
      <c r="B28" t="s">
        <v>1186</v>
      </c>
      <c r="C28" s="12">
        <v>2.484</v>
      </c>
      <c r="D28" s="32">
        <v>3.35</v>
      </c>
      <c r="E28" s="22">
        <v>4.8099999999999996</v>
      </c>
      <c r="F28" s="1" t="str">
        <f>HYPERLINK("http://www.ncbi.nlm.nih.gov/pubmed/?term=Arfgap3","Arfgap3")</f>
        <v>Arfgap3</v>
      </c>
    </row>
    <row r="29" spans="1:6" x14ac:dyDescent="0.25">
      <c r="A29" t="s">
        <v>836</v>
      </c>
      <c r="B29" t="s">
        <v>638</v>
      </c>
      <c r="C29" s="32">
        <v>3.403</v>
      </c>
      <c r="D29" s="48">
        <v>4.1059999999999999</v>
      </c>
      <c r="E29" s="25">
        <v>5.5940000000000003</v>
      </c>
      <c r="F29" s="1" t="str">
        <f>HYPERLINK("http://www.ncbi.nlm.nih.gov/pubmed/?term=Arrb2","Arrb2")</f>
        <v>Arrb2</v>
      </c>
    </row>
    <row r="30" spans="1:6" x14ac:dyDescent="0.25">
      <c r="A30" t="s">
        <v>1311</v>
      </c>
      <c r="B30" t="s">
        <v>1431</v>
      </c>
      <c r="C30" s="48">
        <v>4.4509999999999996</v>
      </c>
      <c r="D30" s="24">
        <v>8.4649999999999999</v>
      </c>
      <c r="E30" s="46">
        <v>8.5500000000000007</v>
      </c>
      <c r="F30" s="1" t="str">
        <f>HYPERLINK("http://www.ncbi.nlm.nih.gov/pubmed/?term=H2-Q7","H2-Q7")</f>
        <v>H2-Q7</v>
      </c>
    </row>
    <row r="31" spans="1:6" x14ac:dyDescent="0.25">
      <c r="A31" t="s">
        <v>300</v>
      </c>
      <c r="B31" t="s">
        <v>809</v>
      </c>
      <c r="C31" s="46">
        <v>8.6720000000000006</v>
      </c>
      <c r="D31" s="43">
        <v>10.43</v>
      </c>
      <c r="E31" s="43">
        <v>10.72</v>
      </c>
      <c r="F31" s="1" t="str">
        <f>HYPERLINK("http://www.ncbi.nlm.nih.gov/pubmed/?term=H2-K1","H2-K1")</f>
        <v>H2-K1</v>
      </c>
    </row>
    <row r="32" spans="1:6" x14ac:dyDescent="0.25">
      <c r="A32" t="s">
        <v>1038</v>
      </c>
      <c r="B32" t="s">
        <v>1245</v>
      </c>
      <c r="C32" s="32">
        <v>2.8450000000000002</v>
      </c>
      <c r="D32" s="48">
        <v>3.9169999999999998</v>
      </c>
      <c r="E32" s="22">
        <v>4.58</v>
      </c>
      <c r="F32" s="1" t="str">
        <f>HYPERLINK("http://www.ncbi.nlm.nih.gov/pubmed/?term=Vps37b","Vps37b")</f>
        <v>Vps37b</v>
      </c>
    </row>
    <row r="33" spans="1:6" x14ac:dyDescent="0.25">
      <c r="A33" t="s">
        <v>216</v>
      </c>
      <c r="B33" t="s">
        <v>586</v>
      </c>
      <c r="C33" s="29">
        <v>6.7060000000000004</v>
      </c>
      <c r="D33" s="24">
        <v>7.649</v>
      </c>
      <c r="E33" s="24">
        <v>7.8150000000000004</v>
      </c>
      <c r="F33" s="1" t="str">
        <f>HYPERLINK("http://www.ncbi.nlm.nih.gov/pubmed/?term=H2-T23","H2-T23")</f>
        <v>H2-T23</v>
      </c>
    </row>
    <row r="34" spans="1:6" x14ac:dyDescent="0.25">
      <c r="A34" t="s">
        <v>2141</v>
      </c>
      <c r="B34" t="s">
        <v>157</v>
      </c>
      <c r="C34" s="12">
        <v>2.1930000000000001</v>
      </c>
      <c r="D34" s="48">
        <v>4.2409999999999997</v>
      </c>
      <c r="E34" s="22">
        <v>4.5410000000000004</v>
      </c>
      <c r="F34" s="1" t="str">
        <f>HYPERLINK("http://www.ncbi.nlm.nih.gov/pubmed/?term=H2-Q10","H2-Q10")</f>
        <v>H2-Q10</v>
      </c>
    </row>
    <row r="35" spans="1:6" x14ac:dyDescent="0.25">
      <c r="A35" t="s">
        <v>247</v>
      </c>
      <c r="B35" t="s">
        <v>265</v>
      </c>
      <c r="C35" s="24">
        <v>8.1630000000000003</v>
      </c>
      <c r="D35" s="43">
        <v>10.1</v>
      </c>
      <c r="E35" s="43">
        <v>10.33</v>
      </c>
      <c r="F35" s="1" t="str">
        <f>HYPERLINK("http://www.ncbi.nlm.nih.gov/pubmed/?term=H2-D1","H2-D1")</f>
        <v>H2-D1</v>
      </c>
    </row>
    <row r="36" spans="1:6" x14ac:dyDescent="0.25">
      <c r="A36" t="s">
        <v>1504</v>
      </c>
      <c r="B36" t="s">
        <v>1434</v>
      </c>
      <c r="C36" s="32">
        <v>3.0409999999999999</v>
      </c>
      <c r="D36" s="48">
        <v>3.6920000000000002</v>
      </c>
      <c r="E36" s="48">
        <v>3.9689999999999999</v>
      </c>
      <c r="F36" s="1" t="str">
        <f>HYPERLINK("http://www.ncbi.nlm.nih.gov/pubmed/?term=H2-Q2","H2-Q2")</f>
        <v>H2-Q2</v>
      </c>
    </row>
    <row r="37" spans="1:6" x14ac:dyDescent="0.25">
      <c r="A37" t="s">
        <v>845</v>
      </c>
      <c r="B37" t="s">
        <v>666</v>
      </c>
      <c r="C37" s="22">
        <v>4.9349999999999996</v>
      </c>
      <c r="D37" s="48">
        <v>4.0890000000000004</v>
      </c>
      <c r="E37" s="32">
        <v>3.2389999999999999</v>
      </c>
      <c r="F37" s="1" t="str">
        <f>HYPERLINK("http://www.ncbi.nlm.nih.gov/pubmed/?term=Ap2a2","Ap2a2")</f>
        <v>Ap2a2</v>
      </c>
    </row>
    <row r="38" spans="1:6" x14ac:dyDescent="0.25">
      <c r="A38" t="s">
        <v>1998</v>
      </c>
      <c r="B38" t="s">
        <v>1782</v>
      </c>
      <c r="C38" s="22">
        <v>5.101</v>
      </c>
      <c r="D38" s="48">
        <v>4.3159999999999998</v>
      </c>
      <c r="E38" s="48">
        <v>3.9209999999999998</v>
      </c>
      <c r="F38" s="1" t="str">
        <f>HYPERLINK("http://www.ncbi.nlm.nih.gov/pubmed/?term=Sh3gl1","Sh3gl1")</f>
        <v>Sh3gl1</v>
      </c>
    </row>
    <row r="39" spans="1:6" x14ac:dyDescent="0.25">
      <c r="A39" t="s">
        <v>172</v>
      </c>
      <c r="B39" t="s">
        <v>1365</v>
      </c>
      <c r="C39" s="25">
        <v>6.0519999999999996</v>
      </c>
      <c r="D39" s="22">
        <v>5.234</v>
      </c>
      <c r="E39" s="48">
        <v>4.1980000000000004</v>
      </c>
      <c r="F39" s="1" t="str">
        <f>HYPERLINK("http://www.ncbi.nlm.nih.gov/pubmed/?term=Chmp2b","Chmp2b")</f>
        <v>Chmp2b</v>
      </c>
    </row>
    <row r="40" spans="1:6" x14ac:dyDescent="0.25">
      <c r="A40" t="s">
        <v>368</v>
      </c>
      <c r="B40" t="s">
        <v>938</v>
      </c>
      <c r="C40" s="22">
        <v>4.8079999999999998</v>
      </c>
      <c r="D40" s="48">
        <v>3.8130000000000002</v>
      </c>
      <c r="E40" s="48">
        <v>3.5379999999999998</v>
      </c>
      <c r="F40" s="1" t="str">
        <f>HYPERLINK("http://www.ncbi.nlm.nih.gov/pubmed/?term=Igf1r","Igf1r")</f>
        <v>Igf1r</v>
      </c>
    </row>
    <row r="41" spans="1:6" x14ac:dyDescent="0.25">
      <c r="A41" t="s">
        <v>2053</v>
      </c>
      <c r="B41" t="s">
        <v>1741</v>
      </c>
      <c r="C41" s="48">
        <v>3.931</v>
      </c>
      <c r="D41" s="48">
        <v>3.7360000000000002</v>
      </c>
      <c r="E41" s="32">
        <v>2.7890000000000001</v>
      </c>
      <c r="F41" s="1" t="str">
        <f>HYPERLINK("http://www.ncbi.nlm.nih.gov/pubmed/?term=Smurf2","Smurf2")</f>
        <v>Smurf2</v>
      </c>
    </row>
    <row r="42" spans="1:6" x14ac:dyDescent="0.25">
      <c r="A42" t="s">
        <v>1444</v>
      </c>
      <c r="B42" t="s">
        <v>1417</v>
      </c>
      <c r="C42" s="22">
        <v>4.7190000000000003</v>
      </c>
      <c r="D42" s="48">
        <v>4.1989999999999998</v>
      </c>
      <c r="E42" s="32">
        <v>2.794</v>
      </c>
      <c r="F42" s="1" t="str">
        <f>HYPERLINK("http://www.ncbi.nlm.nih.gov/pubmed/?term=Egfr","Egfr")</f>
        <v>Egfr</v>
      </c>
    </row>
    <row r="43" spans="1:6" x14ac:dyDescent="0.25">
      <c r="A43" t="s">
        <v>1056</v>
      </c>
      <c r="B43" t="s">
        <v>1493</v>
      </c>
      <c r="C43" s="22">
        <v>5.1059999999999999</v>
      </c>
      <c r="D43" s="22">
        <v>4.6779999999999999</v>
      </c>
      <c r="E43" s="48">
        <v>4.0839999999999996</v>
      </c>
      <c r="F43" s="1" t="str">
        <f>HYPERLINK("http://www.ncbi.nlm.nih.gov/pubmed/?term=Pard3","Pard3")</f>
        <v>Pard3</v>
      </c>
    </row>
    <row r="44" spans="1:6" x14ac:dyDescent="0.25">
      <c r="A44" t="s">
        <v>682</v>
      </c>
      <c r="B44" t="s">
        <v>77</v>
      </c>
      <c r="C44" s="48">
        <v>4.1790000000000003</v>
      </c>
      <c r="D44" s="32">
        <v>3.0070000000000001</v>
      </c>
      <c r="E44" s="32">
        <v>2.6019999999999999</v>
      </c>
      <c r="F44" s="1" t="str">
        <f>HYPERLINK("http://www.ncbi.nlm.nih.gov/pubmed/?term=Stam","Stam")</f>
        <v>Stam</v>
      </c>
    </row>
    <row r="45" spans="1:6" x14ac:dyDescent="0.25">
      <c r="A45" t="s">
        <v>198</v>
      </c>
      <c r="B45" t="s">
        <v>364</v>
      </c>
      <c r="C45" s="32">
        <v>3.3879999999999999</v>
      </c>
      <c r="D45" s="12">
        <v>2.21</v>
      </c>
      <c r="E45" s="12">
        <v>2.0059999999999998</v>
      </c>
      <c r="F45" s="1" t="str">
        <f>HYPERLINK("http://www.ncbi.nlm.nih.gov/pubmed/?term=Ehd4","Ehd4")</f>
        <v>Ehd4</v>
      </c>
    </row>
    <row r="46" spans="1:6" x14ac:dyDescent="0.25">
      <c r="A46" t="s">
        <v>1670</v>
      </c>
      <c r="B46" t="s">
        <v>1148</v>
      </c>
      <c r="C46" s="25">
        <v>6.226</v>
      </c>
      <c r="D46" s="25">
        <v>5.8049999999999997</v>
      </c>
      <c r="E46" s="12">
        <v>2.2450000000000001</v>
      </c>
      <c r="F46" s="1" t="str">
        <f>HYPERLINK("http://www.ncbi.nlm.nih.gov/pubmed/?term=Fgfr2","Fgfr2")</f>
        <v>Fgfr2</v>
      </c>
    </row>
    <row r="47" spans="1:6" x14ac:dyDescent="0.25">
      <c r="A47" t="s">
        <v>1480</v>
      </c>
      <c r="B47" t="s">
        <v>888</v>
      </c>
      <c r="C47" s="24">
        <v>8.3010000000000002</v>
      </c>
      <c r="D47" s="24">
        <v>7.867</v>
      </c>
      <c r="E47" s="29">
        <v>6.5780000000000003</v>
      </c>
      <c r="F47" s="1" t="str">
        <f>HYPERLINK("http://www.ncbi.nlm.nih.gov/pubmed/?term=Nedd4","Nedd4")</f>
        <v>Nedd4</v>
      </c>
    </row>
    <row r="48" spans="1:6" x14ac:dyDescent="0.25">
      <c r="A48" t="s">
        <v>650</v>
      </c>
      <c r="B48" t="s">
        <v>2046</v>
      </c>
      <c r="C48" s="22">
        <v>4.5739999999999998</v>
      </c>
      <c r="D48" s="12">
        <v>2.1139999999999999</v>
      </c>
      <c r="E48" s="26">
        <v>-0.61719999999999997</v>
      </c>
      <c r="F48" s="1" t="str">
        <f>HYPERLINK("http://www.ncbi.nlm.nih.gov/pubmed/?term=Tgfbr2","Tgfbr2")</f>
        <v>Tgfbr2</v>
      </c>
    </row>
    <row r="49" spans="1:6" x14ac:dyDescent="0.25">
      <c r="A49" t="s">
        <v>262</v>
      </c>
      <c r="B49" t="s">
        <v>663</v>
      </c>
      <c r="C49" s="48">
        <v>3.984</v>
      </c>
      <c r="D49" s="32">
        <v>3.1859999999999999</v>
      </c>
      <c r="E49" s="12">
        <v>2.2290000000000001</v>
      </c>
      <c r="F49" s="1" t="str">
        <f>HYPERLINK("http://www.ncbi.nlm.nih.gov/pubmed/?term=Zfyve9","Zfyve9")</f>
        <v>Zfyve9</v>
      </c>
    </row>
    <row r="50" spans="1:6" x14ac:dyDescent="0.25">
      <c r="A50" t="s">
        <v>662</v>
      </c>
      <c r="B50" t="s">
        <v>725</v>
      </c>
      <c r="C50" s="22">
        <v>5.0199999999999996</v>
      </c>
      <c r="D50" s="48">
        <v>3.5569999999999999</v>
      </c>
      <c r="E50" s="32">
        <v>3.145</v>
      </c>
      <c r="F50" s="1" t="str">
        <f>HYPERLINK("http://www.ncbi.nlm.nih.gov/pubmed/?term=Ldlrap1","Ldlrap1")</f>
        <v>Ldlrap1</v>
      </c>
    </row>
    <row r="51" spans="1:6" x14ac:dyDescent="0.25">
      <c r="A51" t="s">
        <v>866</v>
      </c>
      <c r="B51" t="s">
        <v>1074</v>
      </c>
      <c r="C51" s="25">
        <v>5.6680000000000001</v>
      </c>
      <c r="D51" s="48">
        <v>4.3540000000000001</v>
      </c>
      <c r="E51" s="48">
        <v>3.786</v>
      </c>
      <c r="F51" s="1" t="str">
        <f>HYPERLINK("http://www.ncbi.nlm.nih.gov/pubmed/?term=Prkci","Prkci")</f>
        <v>Prkci</v>
      </c>
    </row>
    <row r="52" spans="1:6" x14ac:dyDescent="0.25">
      <c r="A52" t="s">
        <v>406</v>
      </c>
      <c r="B52" t="s">
        <v>847</v>
      </c>
      <c r="C52" s="48">
        <v>4.008</v>
      </c>
      <c r="D52" s="32">
        <v>3.427</v>
      </c>
      <c r="E52" s="12">
        <v>2.4500000000000002</v>
      </c>
      <c r="F52" s="1" t="str">
        <f>HYPERLINK("http://www.ncbi.nlm.nih.gov/pubmed/?term=Fam125b","Fam125b")</f>
        <v>Fam125b</v>
      </c>
    </row>
    <row r="53" spans="1:6" x14ac:dyDescent="0.25">
      <c r="A53" t="s">
        <v>1826</v>
      </c>
      <c r="B53" t="s">
        <v>1697</v>
      </c>
      <c r="C53" s="48">
        <v>3.6230000000000002</v>
      </c>
      <c r="D53" s="32">
        <v>2.69</v>
      </c>
      <c r="E53" s="12">
        <v>1.899</v>
      </c>
      <c r="F53" s="1" t="str">
        <f>HYPERLINK("http://www.ncbi.nlm.nih.gov/pubmed/?term=Rab11fip2","Rab11fip2")</f>
        <v>Rab11fip2</v>
      </c>
    </row>
    <row r="54" spans="1:6" x14ac:dyDescent="0.25">
      <c r="A54" t="s">
        <v>958</v>
      </c>
      <c r="B54" t="s">
        <v>360</v>
      </c>
      <c r="C54" s="48">
        <v>3.5590000000000002</v>
      </c>
      <c r="D54" s="32">
        <v>2.7789999999999999</v>
      </c>
      <c r="E54" s="12">
        <v>2.4319999999999999</v>
      </c>
      <c r="F54" s="1" t="str">
        <f>HYPERLINK("http://www.ncbi.nlm.nih.gov/pubmed/?term=Wwp1","Wwp1")</f>
        <v>Wwp1</v>
      </c>
    </row>
    <row r="55" spans="1:6" x14ac:dyDescent="0.25">
      <c r="A55" t="s">
        <v>372</v>
      </c>
      <c r="B55" t="s">
        <v>269</v>
      </c>
      <c r="C55" s="48">
        <v>4.2910000000000004</v>
      </c>
      <c r="D55" s="32">
        <v>2.972</v>
      </c>
      <c r="E55" s="20">
        <v>1.03</v>
      </c>
      <c r="F55" s="1" t="str">
        <f>HYPERLINK("http://www.ncbi.nlm.nih.gov/pubmed/?term=F2r","F2r")</f>
        <v>F2r</v>
      </c>
    </row>
    <row r="56" spans="1:6" x14ac:dyDescent="0.25">
      <c r="A56" t="s">
        <v>2168</v>
      </c>
      <c r="B56" t="s">
        <v>2125</v>
      </c>
      <c r="C56" s="48">
        <v>4.16</v>
      </c>
      <c r="D56" s="32">
        <v>2.532</v>
      </c>
      <c r="E56" s="20">
        <v>1.0369999999999999</v>
      </c>
      <c r="F56" s="1" t="str">
        <f>HYPERLINK("http://www.ncbi.nlm.nih.gov/pubmed/?term=Rab11fip5","Rab11fip5")</f>
        <v>Rab11fip5</v>
      </c>
    </row>
    <row r="57" spans="1:6" x14ac:dyDescent="0.25">
      <c r="A57" t="s">
        <v>1988</v>
      </c>
      <c r="B57" t="s">
        <v>758</v>
      </c>
      <c r="C57" s="25">
        <v>6.266</v>
      </c>
      <c r="D57" s="22">
        <v>5.4480000000000004</v>
      </c>
      <c r="E57" s="48">
        <v>3.73</v>
      </c>
      <c r="F57" s="1" t="str">
        <f>HYPERLINK("http://www.ncbi.nlm.nih.gov/pubmed/?term=Pard6g","Pard6g")</f>
        <v>Pard6g</v>
      </c>
    </row>
    <row r="58" spans="1:6" x14ac:dyDescent="0.25">
      <c r="A58" t="s">
        <v>104</v>
      </c>
      <c r="B58" t="s">
        <v>2025</v>
      </c>
      <c r="C58" s="48">
        <v>4.0880000000000001</v>
      </c>
      <c r="D58" s="48">
        <v>4.0830000000000002</v>
      </c>
      <c r="E58" s="22">
        <v>5.1139999999999999</v>
      </c>
      <c r="F58" s="1" t="str">
        <f>HYPERLINK("http://www.ncbi.nlm.nih.gov/pubmed/?term=Grk5","Grk5")</f>
        <v>Grk5</v>
      </c>
    </row>
    <row r="59" spans="1:6" x14ac:dyDescent="0.25">
      <c r="A59" t="s">
        <v>133</v>
      </c>
      <c r="B59" t="s">
        <v>1453</v>
      </c>
      <c r="C59" s="22">
        <v>4.9180000000000001</v>
      </c>
      <c r="D59" s="22">
        <v>4.5679999999999996</v>
      </c>
      <c r="E59" s="25">
        <v>5.891</v>
      </c>
      <c r="F59" s="1" t="str">
        <f>HYPERLINK("http://www.ncbi.nlm.nih.gov/pubmed/?term=Mdm2","Mdm2")</f>
        <v>Mdm2</v>
      </c>
    </row>
    <row r="60" spans="1:6" x14ac:dyDescent="0.25">
      <c r="A60" t="s">
        <v>529</v>
      </c>
      <c r="B60" t="s">
        <v>1321</v>
      </c>
      <c r="C60" s="32">
        <v>3.3559999999999999</v>
      </c>
      <c r="D60" s="32">
        <v>3.198</v>
      </c>
      <c r="E60" s="22">
        <v>5.0339999999999998</v>
      </c>
      <c r="F60" s="1" t="str">
        <f>HYPERLINK("http://www.ncbi.nlm.nih.gov/pubmed/?term=Traf6","Traf6")</f>
        <v>Traf6</v>
      </c>
    </row>
    <row r="61" spans="1:6" x14ac:dyDescent="0.25">
      <c r="A61" t="s">
        <v>1416</v>
      </c>
      <c r="B61" t="s">
        <v>564</v>
      </c>
      <c r="C61" s="22">
        <v>5.1420000000000003</v>
      </c>
      <c r="D61" s="22">
        <v>4.9880000000000004</v>
      </c>
      <c r="E61" s="25">
        <v>6.298</v>
      </c>
      <c r="F61" s="1" t="str">
        <f>HYPERLINK("http://www.ncbi.nlm.nih.gov/pubmed/?term=Eps15","Eps15")</f>
        <v>Eps15</v>
      </c>
    </row>
    <row r="62" spans="1:6" x14ac:dyDescent="0.25">
      <c r="A62" t="s">
        <v>649</v>
      </c>
      <c r="B62" t="s">
        <v>1921</v>
      </c>
      <c r="C62" s="48">
        <v>4.1719999999999997</v>
      </c>
      <c r="D62" s="48">
        <v>4.0339999999999998</v>
      </c>
      <c r="E62" s="25">
        <v>5.7089999999999996</v>
      </c>
      <c r="F62" s="1" t="str">
        <f>HYPERLINK("http://www.ncbi.nlm.nih.gov/pubmed/?term=Psd","Psd")</f>
        <v>Psd</v>
      </c>
    </row>
    <row r="63" spans="1:6" x14ac:dyDescent="0.25">
      <c r="A63" t="s">
        <v>2065</v>
      </c>
      <c r="B63" t="s">
        <v>2126</v>
      </c>
      <c r="C63" s="25">
        <v>6.2510000000000003</v>
      </c>
      <c r="D63" s="22">
        <v>4.5289999999999999</v>
      </c>
      <c r="E63" s="22">
        <v>4.8040000000000003</v>
      </c>
      <c r="F63" s="1" t="str">
        <f>HYPERLINK("http://www.ncbi.nlm.nih.gov/pubmed/?term=Rab11fip4","Rab11fip4")</f>
        <v>Rab11fip4</v>
      </c>
    </row>
    <row r="64" spans="1:6" x14ac:dyDescent="0.25">
      <c r="A64" t="s">
        <v>1289</v>
      </c>
      <c r="B64" t="s">
        <v>2001</v>
      </c>
      <c r="C64" s="22">
        <v>4.7679999999999998</v>
      </c>
      <c r="D64" s="32">
        <v>2.8929999999999998</v>
      </c>
      <c r="E64" s="32">
        <v>3.339</v>
      </c>
      <c r="F64" s="1" t="str">
        <f>HYPERLINK("http://www.ncbi.nlm.nih.gov/pubmed/?term=Smad3","Smad3")</f>
        <v>Smad3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825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2105</v>
      </c>
      <c r="B5" t="s">
        <v>1795</v>
      </c>
      <c r="C5" s="26">
        <v>-0.6603</v>
      </c>
      <c r="D5" s="3">
        <v>4.41</v>
      </c>
      <c r="E5" s="21">
        <v>0.9375</v>
      </c>
      <c r="F5" s="1" t="str">
        <f>HYPERLINK("http://www.ncbi.nlm.nih.gov/pubmed/?term=Aldh3a1","Aldh3a1")</f>
        <v>Aldh3a1</v>
      </c>
    </row>
    <row r="6" spans="1:6" x14ac:dyDescent="0.25">
      <c r="A6" t="s">
        <v>1111</v>
      </c>
      <c r="B6" t="s">
        <v>995</v>
      </c>
      <c r="C6" s="26">
        <v>-2.2890000000000001</v>
      </c>
      <c r="D6" s="16">
        <v>4.6890000000000001</v>
      </c>
      <c r="E6" s="41">
        <v>2.0369999999999999</v>
      </c>
      <c r="F6" s="1" t="str">
        <f>HYPERLINK("http://www.ncbi.nlm.nih.gov/pubmed/?term=Adh1","Adh1")</f>
        <v>Adh1</v>
      </c>
    </row>
    <row r="7" spans="1:6" x14ac:dyDescent="0.25">
      <c r="A7" t="s">
        <v>316</v>
      </c>
      <c r="B7" t="s">
        <v>1055</v>
      </c>
      <c r="C7" s="26">
        <v>-0.1326</v>
      </c>
      <c r="D7" s="22">
        <v>2.556</v>
      </c>
      <c r="E7" s="43">
        <v>5.6550000000000002</v>
      </c>
      <c r="F7" s="1" t="str">
        <f>HYPERLINK("http://www.ncbi.nlm.nih.gov/pubmed/?term=Eno2","Eno2")</f>
        <v>Eno2</v>
      </c>
    </row>
    <row r="8" spans="1:6" x14ac:dyDescent="0.25">
      <c r="A8" t="s">
        <v>393</v>
      </c>
      <c r="B8" t="s">
        <v>2119</v>
      </c>
      <c r="C8" s="43">
        <v>6.0830000000000002</v>
      </c>
      <c r="D8" s="43">
        <v>6.2190000000000003</v>
      </c>
      <c r="E8" s="43">
        <v>7.24</v>
      </c>
      <c r="F8" s="1" t="str">
        <f>HYPERLINK("http://www.ncbi.nlm.nih.gov/pubmed/?term=Tpi1","Tpi1")</f>
        <v>Tpi1</v>
      </c>
    </row>
    <row r="9" spans="1:6" x14ac:dyDescent="0.25">
      <c r="A9" t="s">
        <v>2062</v>
      </c>
      <c r="B9" t="s">
        <v>1343</v>
      </c>
      <c r="C9" s="26">
        <v>0.4713</v>
      </c>
      <c r="D9" s="41">
        <v>2.2429999999999999</v>
      </c>
      <c r="E9" s="3">
        <v>4.0810000000000004</v>
      </c>
      <c r="F9" s="1" t="str">
        <f>HYPERLINK("http://www.ncbi.nlm.nih.gov/pubmed/?term=Aldh3b1","Aldh3b1")</f>
        <v>Aldh3b1</v>
      </c>
    </row>
    <row r="10" spans="1:6" x14ac:dyDescent="0.25">
      <c r="A10" t="s">
        <v>338</v>
      </c>
      <c r="B10" t="s">
        <v>573</v>
      </c>
      <c r="C10" s="26">
        <v>-2.6819999999999999</v>
      </c>
      <c r="D10" s="26">
        <v>-0.14799999999999999</v>
      </c>
      <c r="E10" s="16">
        <v>4.702</v>
      </c>
      <c r="F10" s="1" t="str">
        <f>HYPERLINK("http://www.ncbi.nlm.nih.gov/pubmed/?term=Pck1","Pck1")</f>
        <v>Pck1</v>
      </c>
    </row>
    <row r="11" spans="1:6" x14ac:dyDescent="0.25">
      <c r="A11" t="s">
        <v>127</v>
      </c>
      <c r="B11" t="s">
        <v>1483</v>
      </c>
      <c r="C11" s="41">
        <v>2.0920000000000001</v>
      </c>
      <c r="D11" s="41">
        <v>2.2069999999999999</v>
      </c>
      <c r="E11" s="3">
        <v>4.4569999999999999</v>
      </c>
      <c r="F11" s="1" t="str">
        <f>HYPERLINK("http://www.ncbi.nlm.nih.gov/pubmed/?term=Acss2","Acss2")</f>
        <v>Acss2</v>
      </c>
    </row>
    <row r="12" spans="1:6" x14ac:dyDescent="0.25">
      <c r="A12" t="s">
        <v>1809</v>
      </c>
      <c r="B12" t="s">
        <v>1280</v>
      </c>
      <c r="C12" s="22">
        <v>2.9670000000000001</v>
      </c>
      <c r="D12" s="22">
        <v>3.0139999999999998</v>
      </c>
      <c r="E12" s="16">
        <v>4.9400000000000004</v>
      </c>
      <c r="F12" s="1" t="str">
        <f>HYPERLINK("http://www.ncbi.nlm.nih.gov/pubmed/?term=Eno3","Eno3")</f>
        <v>Eno3</v>
      </c>
    </row>
    <row r="13" spans="1:6" x14ac:dyDescent="0.25">
      <c r="A13" t="s">
        <v>1248</v>
      </c>
      <c r="B13" t="s">
        <v>2158</v>
      </c>
      <c r="C13" s="16">
        <v>5.4740000000000002</v>
      </c>
      <c r="D13" s="43">
        <v>6.3890000000000002</v>
      </c>
      <c r="E13" s="3">
        <v>3.6019999999999999</v>
      </c>
      <c r="F13" s="1" t="str">
        <f>HYPERLINK("http://www.ncbi.nlm.nih.gov/pubmed/?term=Aldh2","Aldh2")</f>
        <v>Aldh2</v>
      </c>
    </row>
    <row r="14" spans="1:6" x14ac:dyDescent="0.25">
      <c r="A14" t="s">
        <v>2201</v>
      </c>
      <c r="B14" t="s">
        <v>1687</v>
      </c>
      <c r="C14" s="3">
        <v>3.61</v>
      </c>
      <c r="D14" s="16">
        <v>4.9009999999999998</v>
      </c>
      <c r="E14" s="22">
        <v>3.2240000000000002</v>
      </c>
      <c r="F14" s="1" t="str">
        <f>HYPERLINK("http://www.ncbi.nlm.nih.gov/pubmed/?term=Bpgm","Bpgm")</f>
        <v>Bpgm</v>
      </c>
    </row>
    <row r="15" spans="1:6" x14ac:dyDescent="0.25">
      <c r="A15" t="s">
        <v>683</v>
      </c>
      <c r="B15" t="s">
        <v>1793</v>
      </c>
      <c r="C15" s="43">
        <v>6.4889999999999999</v>
      </c>
      <c r="D15" s="43">
        <v>6.3239999999999998</v>
      </c>
      <c r="E15" s="16">
        <v>5.26</v>
      </c>
      <c r="F15" s="1" t="str">
        <f>HYPERLINK("http://www.ncbi.nlm.nih.gov/pubmed/?term=Aldh3a2","Aldh3a2")</f>
        <v>Aldh3a2</v>
      </c>
    </row>
    <row r="16" spans="1:6" x14ac:dyDescent="0.25">
      <c r="A16" t="s">
        <v>1165</v>
      </c>
      <c r="B16" t="s">
        <v>457</v>
      </c>
      <c r="C16" s="21">
        <v>1.4990000000000001</v>
      </c>
      <c r="D16" s="21">
        <v>0.54100000000000004</v>
      </c>
      <c r="E16" s="3">
        <v>3.887</v>
      </c>
      <c r="F16" s="1" t="str">
        <f>HYPERLINK("http://www.ncbi.nlm.nih.gov/pubmed/?term=Hk2","Hk2")</f>
        <v>Hk2</v>
      </c>
    </row>
    <row r="17" spans="1:6" x14ac:dyDescent="0.25">
      <c r="A17" t="s">
        <v>1933</v>
      </c>
      <c r="B17" t="s">
        <v>1465</v>
      </c>
      <c r="C17" s="22">
        <v>3.3809999999999998</v>
      </c>
      <c r="D17" s="22">
        <v>2.7610000000000001</v>
      </c>
      <c r="E17" s="16">
        <v>5.069</v>
      </c>
      <c r="F17" s="1" t="str">
        <f>HYPERLINK("http://www.ncbi.nlm.nih.gov/pubmed/?term=Pfkm","Pfkm")</f>
        <v>Pfkm</v>
      </c>
    </row>
    <row r="18" spans="1:6" x14ac:dyDescent="0.25">
      <c r="A18" t="s">
        <v>96</v>
      </c>
      <c r="B18" t="s">
        <v>1492</v>
      </c>
      <c r="C18" s="43">
        <v>6.4009999999999998</v>
      </c>
      <c r="D18" s="43">
        <v>6.0640000000000001</v>
      </c>
      <c r="E18" s="43">
        <v>7.2469999999999999</v>
      </c>
      <c r="F18" s="1" t="str">
        <f>HYPERLINK("http://www.ncbi.nlm.nih.gov/pubmed/?term=Pgk1","Pgk1")</f>
        <v>Pgk1</v>
      </c>
    </row>
    <row r="19" spans="1:6" x14ac:dyDescent="0.25">
      <c r="A19" t="s">
        <v>1836</v>
      </c>
      <c r="B19" t="s">
        <v>505</v>
      </c>
      <c r="C19" s="16">
        <v>5.3739999999999997</v>
      </c>
      <c r="D19" s="3">
        <v>4.2320000000000002</v>
      </c>
      <c r="E19" s="16">
        <v>5.367</v>
      </c>
      <c r="F19" s="1" t="str">
        <f>HYPERLINK("http://www.ncbi.nlm.nih.gov/pubmed/?term=Pgm2","Pgm2")</f>
        <v>Pgm2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1919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1171</v>
      </c>
      <c r="B5" t="s">
        <v>689</v>
      </c>
      <c r="C5" s="36">
        <v>1.607</v>
      </c>
      <c r="D5" s="42">
        <v>3.5720000000000001</v>
      </c>
      <c r="E5" s="36">
        <v>2.0129999999999999</v>
      </c>
      <c r="F5" s="1" t="str">
        <f>HYPERLINK("http://www.ncbi.nlm.nih.gov/pubmed/?term=Pld2","Pld2")</f>
        <v>Pld2</v>
      </c>
    </row>
    <row r="6" spans="1:6" x14ac:dyDescent="0.25">
      <c r="A6" t="s">
        <v>2149</v>
      </c>
      <c r="B6" t="s">
        <v>615</v>
      </c>
      <c r="C6" s="26">
        <v>-3.8439999999999999</v>
      </c>
      <c r="D6" s="42">
        <v>3.5169999999999999</v>
      </c>
      <c r="E6" s="26">
        <v>-5.7509999999999999E-2</v>
      </c>
      <c r="F6" s="1" t="str">
        <f>HYPERLINK("http://www.ncbi.nlm.nih.gov/pubmed/?term=Dgki","Dgki")</f>
        <v>Dgki</v>
      </c>
    </row>
    <row r="7" spans="1:6" x14ac:dyDescent="0.25">
      <c r="A7" t="s">
        <v>1189</v>
      </c>
      <c r="B7" t="s">
        <v>610</v>
      </c>
      <c r="C7" s="42">
        <v>4.117</v>
      </c>
      <c r="D7" s="28">
        <v>6.32</v>
      </c>
      <c r="E7" s="27">
        <v>4.5229999999999997</v>
      </c>
      <c r="F7" s="1" t="str">
        <f>HYPERLINK("http://www.ncbi.nlm.nih.gov/pubmed/?term=Dgkz","Dgkz")</f>
        <v>Dgkz</v>
      </c>
    </row>
    <row r="8" spans="1:6" x14ac:dyDescent="0.25">
      <c r="A8" t="s">
        <v>2020</v>
      </c>
      <c r="B8" t="s">
        <v>1110</v>
      </c>
      <c r="C8" s="47">
        <v>2.8660000000000001</v>
      </c>
      <c r="D8" s="47">
        <v>3.048</v>
      </c>
      <c r="E8" s="27">
        <v>4.5</v>
      </c>
      <c r="F8" s="1" t="str">
        <f>HYPERLINK("http://www.ncbi.nlm.nih.gov/pubmed/?term=Ptdss2","Ptdss2")</f>
        <v>Ptdss2</v>
      </c>
    </row>
    <row r="9" spans="1:6" x14ac:dyDescent="0.25">
      <c r="A9" t="s">
        <v>1474</v>
      </c>
      <c r="B9" t="s">
        <v>1976</v>
      </c>
      <c r="C9" s="42">
        <v>3.9710000000000001</v>
      </c>
      <c r="D9" s="27">
        <v>4.7439999999999998</v>
      </c>
      <c r="E9" s="43">
        <v>6.95</v>
      </c>
      <c r="F9" s="1" t="str">
        <f>HYPERLINK("http://www.ncbi.nlm.nih.gov/pubmed/?term=Pld1","Pld1")</f>
        <v>Pld1</v>
      </c>
    </row>
    <row r="10" spans="1:6" x14ac:dyDescent="0.25">
      <c r="A10" t="s">
        <v>756</v>
      </c>
      <c r="B10" t="s">
        <v>1637</v>
      </c>
      <c r="C10" s="26">
        <v>-2.0179999999999998</v>
      </c>
      <c r="D10" s="47">
        <v>3.04</v>
      </c>
      <c r="E10" s="42">
        <v>4.3719999999999999</v>
      </c>
      <c r="F10" s="1" t="str">
        <f>HYPERLINK("http://www.ncbi.nlm.nih.gov/pubmed/?term=Plb1","Plb1")</f>
        <v>Plb1</v>
      </c>
    </row>
    <row r="11" spans="1:6" x14ac:dyDescent="0.25">
      <c r="A11" t="s">
        <v>2186</v>
      </c>
      <c r="B11" t="s">
        <v>1752</v>
      </c>
      <c r="C11" s="26">
        <v>-1.3720000000000001</v>
      </c>
      <c r="D11" s="36">
        <v>1.534</v>
      </c>
      <c r="E11" s="47">
        <v>3.37</v>
      </c>
      <c r="F11" s="1" t="str">
        <f>HYPERLINK("http://www.ncbi.nlm.nih.gov/pubmed/?term=Pla2g3","Pla2g3")</f>
        <v>Pla2g3</v>
      </c>
    </row>
    <row r="12" spans="1:6" x14ac:dyDescent="0.25">
      <c r="A12" t="s">
        <v>1508</v>
      </c>
      <c r="B12" t="s">
        <v>803</v>
      </c>
      <c r="C12" s="26">
        <v>-0.44529999999999997</v>
      </c>
      <c r="D12" s="47">
        <v>2.629</v>
      </c>
      <c r="E12" s="42">
        <v>3.7029999999999998</v>
      </c>
      <c r="F12" s="1" t="str">
        <f>HYPERLINK("http://www.ncbi.nlm.nih.gov/pubmed/?term=Mboat1","Mboat1")</f>
        <v>Mboat1</v>
      </c>
    </row>
    <row r="13" spans="1:6" x14ac:dyDescent="0.25">
      <c r="A13" t="s">
        <v>909</v>
      </c>
      <c r="B13" t="s">
        <v>1766</v>
      </c>
      <c r="C13" s="14">
        <v>1.18</v>
      </c>
      <c r="D13" s="42">
        <v>4.4390000000000001</v>
      </c>
      <c r="E13" s="28">
        <v>6.1040000000000001</v>
      </c>
      <c r="F13" s="1" t="str">
        <f>HYPERLINK("http://www.ncbi.nlm.nih.gov/pubmed/?term=Pla2g4a","Pla2g4a")</f>
        <v>Pla2g4a</v>
      </c>
    </row>
    <row r="14" spans="1:6" x14ac:dyDescent="0.25">
      <c r="A14" t="s">
        <v>469</v>
      </c>
      <c r="B14" t="s">
        <v>286</v>
      </c>
      <c r="C14" s="42">
        <v>4.141</v>
      </c>
      <c r="D14" s="27">
        <v>4.5010000000000003</v>
      </c>
      <c r="E14" s="47">
        <v>2.661</v>
      </c>
      <c r="F14" s="1" t="str">
        <f>HYPERLINK("http://www.ncbi.nlm.nih.gov/pubmed/?term=Ppap2a","Ppap2a")</f>
        <v>Ppap2a</v>
      </c>
    </row>
    <row r="15" spans="1:6" x14ac:dyDescent="0.25">
      <c r="A15" t="s">
        <v>1250</v>
      </c>
      <c r="B15" t="s">
        <v>617</v>
      </c>
      <c r="C15" s="42">
        <v>3.919</v>
      </c>
      <c r="D15" s="42">
        <v>4.38</v>
      </c>
      <c r="E15" s="47">
        <v>2.94</v>
      </c>
      <c r="F15" s="1" t="str">
        <f>HYPERLINK("http://www.ncbi.nlm.nih.gov/pubmed/?term=Dgka","Dgka")</f>
        <v>Dgka</v>
      </c>
    </row>
    <row r="16" spans="1:6" x14ac:dyDescent="0.25">
      <c r="A16" t="s">
        <v>1397</v>
      </c>
      <c r="B16" t="s">
        <v>1591</v>
      </c>
      <c r="C16" s="28">
        <v>6.2089999999999996</v>
      </c>
      <c r="D16" s="42">
        <v>3.5459999999999998</v>
      </c>
      <c r="E16" s="36">
        <v>2.4239999999999999</v>
      </c>
      <c r="F16" s="1" t="str">
        <f>HYPERLINK("http://www.ncbi.nlm.nih.gov/pubmed/?term=Cds1","Cds1")</f>
        <v>Cds1</v>
      </c>
    </row>
    <row r="17" spans="1:6" x14ac:dyDescent="0.25">
      <c r="A17" t="s">
        <v>357</v>
      </c>
      <c r="B17" t="s">
        <v>713</v>
      </c>
      <c r="C17" s="27">
        <v>4.6980000000000004</v>
      </c>
      <c r="D17" s="42">
        <v>3.9969999999999999</v>
      </c>
      <c r="E17" s="14">
        <v>0.54349999999999998</v>
      </c>
      <c r="F17" s="1" t="str">
        <f>HYPERLINK("http://www.ncbi.nlm.nih.gov/pubmed/?term=Lpcat2","Lpcat2")</f>
        <v>Lpcat2</v>
      </c>
    </row>
    <row r="18" spans="1:6" x14ac:dyDescent="0.25">
      <c r="A18" t="s">
        <v>298</v>
      </c>
      <c r="B18" t="s">
        <v>968</v>
      </c>
      <c r="C18" s="47">
        <v>2.73</v>
      </c>
      <c r="D18" s="47">
        <v>2.6219999999999999</v>
      </c>
      <c r="E18" s="42">
        <v>3.5819999999999999</v>
      </c>
      <c r="F18" s="1" t="str">
        <f>HYPERLINK("http://www.ncbi.nlm.nih.gov/pubmed/?term=Lpcat1","Lpcat1")</f>
        <v>Lpcat1</v>
      </c>
    </row>
    <row r="19" spans="1:6" x14ac:dyDescent="0.25">
      <c r="A19" t="s">
        <v>74</v>
      </c>
      <c r="B19" t="s">
        <v>376</v>
      </c>
      <c r="C19" s="43">
        <v>8.3170000000000002</v>
      </c>
      <c r="D19" s="28">
        <v>5.6</v>
      </c>
      <c r="E19" s="43">
        <v>8.4760000000000009</v>
      </c>
      <c r="F19" s="1" t="str">
        <f>HYPERLINK("http://www.ncbi.nlm.nih.gov/pubmed/?term=Ache","Ache")</f>
        <v>Ache</v>
      </c>
    </row>
    <row r="20" spans="1:6" x14ac:dyDescent="0.25">
      <c r="A20" t="s">
        <v>203</v>
      </c>
      <c r="B20" t="s">
        <v>1510</v>
      </c>
      <c r="C20" s="36">
        <v>2.254</v>
      </c>
      <c r="D20" s="36">
        <v>2.1800000000000002</v>
      </c>
      <c r="E20" s="42">
        <v>4.0890000000000004</v>
      </c>
      <c r="F20" s="1" t="str">
        <f>HYPERLINK("http://www.ncbi.nlm.nih.gov/pubmed/?term=Pla2g12a","Pla2g12a")</f>
        <v>Pla2g12a</v>
      </c>
    </row>
    <row r="21" spans="1:6" x14ac:dyDescent="0.25">
      <c r="A21" t="s">
        <v>2098</v>
      </c>
      <c r="B21" t="s">
        <v>1592</v>
      </c>
      <c r="C21" s="42">
        <v>4.2009999999999996</v>
      </c>
      <c r="D21" s="42">
        <v>4.0860000000000003</v>
      </c>
      <c r="E21" s="28">
        <v>6.2290000000000001</v>
      </c>
      <c r="F21" s="1" t="str">
        <f>HYPERLINK("http://www.ncbi.nlm.nih.gov/pubmed/?term=Cds2","Cds2")</f>
        <v>Cds2</v>
      </c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1262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1171</v>
      </c>
      <c r="B5" t="s">
        <v>689</v>
      </c>
      <c r="C5" s="41">
        <v>1.607</v>
      </c>
      <c r="D5" s="3">
        <v>3.5720000000000001</v>
      </c>
      <c r="E5" s="41">
        <v>2.0129999999999999</v>
      </c>
      <c r="F5" s="1" t="str">
        <f>HYPERLINK("http://www.ncbi.nlm.nih.gov/pubmed/?term=Pld2","Pld2")</f>
        <v>Pld2</v>
      </c>
    </row>
    <row r="6" spans="1:6" x14ac:dyDescent="0.25">
      <c r="A6" t="s">
        <v>1474</v>
      </c>
      <c r="B6" t="s">
        <v>1976</v>
      </c>
      <c r="C6" s="3">
        <v>3.9710000000000001</v>
      </c>
      <c r="D6" s="16">
        <v>4.7439999999999998</v>
      </c>
      <c r="E6" s="43">
        <v>6.95</v>
      </c>
      <c r="F6" s="1" t="str">
        <f>HYPERLINK("http://www.ncbi.nlm.nih.gov/pubmed/?term=Pld1","Pld1")</f>
        <v>Pld1</v>
      </c>
    </row>
    <row r="7" spans="1:6" x14ac:dyDescent="0.25">
      <c r="A7" t="s">
        <v>756</v>
      </c>
      <c r="B7" t="s">
        <v>1637</v>
      </c>
      <c r="C7" s="26">
        <v>-2.0179999999999998</v>
      </c>
      <c r="D7" s="22">
        <v>3.04</v>
      </c>
      <c r="E7" s="3">
        <v>4.3719999999999999</v>
      </c>
      <c r="F7" s="1" t="str">
        <f>HYPERLINK("http://www.ncbi.nlm.nih.gov/pubmed/?term=Plb1","Plb1")</f>
        <v>Plb1</v>
      </c>
    </row>
    <row r="8" spans="1:6" x14ac:dyDescent="0.25">
      <c r="A8" t="s">
        <v>2186</v>
      </c>
      <c r="B8" t="s">
        <v>1752</v>
      </c>
      <c r="C8" s="26">
        <v>-1.3720000000000001</v>
      </c>
      <c r="D8" s="41">
        <v>1.534</v>
      </c>
      <c r="E8" s="22">
        <v>3.37</v>
      </c>
      <c r="F8" s="1" t="str">
        <f>HYPERLINK("http://www.ncbi.nlm.nih.gov/pubmed/?term=Pla2g3","Pla2g3")</f>
        <v>Pla2g3</v>
      </c>
    </row>
    <row r="9" spans="1:6" x14ac:dyDescent="0.25">
      <c r="A9" t="s">
        <v>909</v>
      </c>
      <c r="B9" t="s">
        <v>1766</v>
      </c>
      <c r="C9" s="21">
        <v>1.18</v>
      </c>
      <c r="D9" s="3">
        <v>4.4390000000000001</v>
      </c>
      <c r="E9" s="43">
        <v>6.1040000000000001</v>
      </c>
      <c r="F9" s="1" t="str">
        <f>HYPERLINK("http://www.ncbi.nlm.nih.gov/pubmed/?term=Pla2g4a","Pla2g4a")</f>
        <v>Pla2g4a</v>
      </c>
    </row>
    <row r="10" spans="1:6" x14ac:dyDescent="0.25">
      <c r="A10" t="s">
        <v>469</v>
      </c>
      <c r="B10" t="s">
        <v>286</v>
      </c>
      <c r="C10" s="3">
        <v>4.141</v>
      </c>
      <c r="D10" s="16">
        <v>4.5010000000000003</v>
      </c>
      <c r="E10" s="22">
        <v>2.661</v>
      </c>
      <c r="F10" s="1" t="str">
        <f>HYPERLINK("http://www.ncbi.nlm.nih.gov/pubmed/?term=Ppap2a","Ppap2a")</f>
        <v>Ppap2a</v>
      </c>
    </row>
    <row r="11" spans="1:6" x14ac:dyDescent="0.25">
      <c r="A11" t="s">
        <v>357</v>
      </c>
      <c r="B11" t="s">
        <v>713</v>
      </c>
      <c r="C11" s="16">
        <v>4.6980000000000004</v>
      </c>
      <c r="D11" s="3">
        <v>3.9969999999999999</v>
      </c>
      <c r="E11" s="21">
        <v>0.54349999999999998</v>
      </c>
      <c r="F11" s="1" t="str">
        <f>HYPERLINK("http://www.ncbi.nlm.nih.gov/pubmed/?term=Lpcat2","Lpcat2")</f>
        <v>Lpcat2</v>
      </c>
    </row>
    <row r="12" spans="1:6" x14ac:dyDescent="0.25">
      <c r="A12" t="s">
        <v>298</v>
      </c>
      <c r="B12" t="s">
        <v>968</v>
      </c>
      <c r="C12" s="22">
        <v>2.73</v>
      </c>
      <c r="D12" s="22">
        <v>2.6219999999999999</v>
      </c>
      <c r="E12" s="3">
        <v>3.5819999999999999</v>
      </c>
      <c r="F12" s="1" t="str">
        <f>HYPERLINK("http://www.ncbi.nlm.nih.gov/pubmed/?term=Lpcat1","Lpcat1")</f>
        <v>Lpcat1</v>
      </c>
    </row>
    <row r="13" spans="1:6" x14ac:dyDescent="0.25">
      <c r="A13" t="s">
        <v>203</v>
      </c>
      <c r="B13" t="s">
        <v>1510</v>
      </c>
      <c r="C13" s="41">
        <v>2.254</v>
      </c>
      <c r="D13" s="41">
        <v>2.1800000000000002</v>
      </c>
      <c r="E13" s="3">
        <v>4.0890000000000004</v>
      </c>
      <c r="F13" s="1" t="str">
        <f>HYPERLINK("http://www.ncbi.nlm.nih.gov/pubmed/?term=Pla2g12a","Pla2g12a")</f>
        <v>Pla2g12a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1625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1709</v>
      </c>
      <c r="B5" t="s">
        <v>2175</v>
      </c>
      <c r="C5" s="41">
        <v>2.2000000000000002</v>
      </c>
      <c r="D5" s="22">
        <v>3.359</v>
      </c>
      <c r="E5" s="22">
        <v>2.7130000000000001</v>
      </c>
      <c r="F5" s="1" t="str">
        <f>HYPERLINK("http://www.ncbi.nlm.nih.gov/pubmed/?term=Itpkc","Itpkc")</f>
        <v>Itpkc</v>
      </c>
    </row>
    <row r="6" spans="1:6" x14ac:dyDescent="0.25">
      <c r="A6" t="s">
        <v>2016</v>
      </c>
      <c r="B6" t="s">
        <v>1464</v>
      </c>
      <c r="C6" s="26">
        <v>-0.25159999999999999</v>
      </c>
      <c r="D6" s="16">
        <v>4.952</v>
      </c>
      <c r="E6" s="21">
        <v>0.69540000000000002</v>
      </c>
      <c r="F6" s="1" t="str">
        <f>HYPERLINK("http://www.ncbi.nlm.nih.gov/pubmed/?term=Pik3cg","Pik3cg")</f>
        <v>Pik3cg</v>
      </c>
    </row>
    <row r="7" spans="1:6" x14ac:dyDescent="0.25">
      <c r="A7" t="s">
        <v>58</v>
      </c>
      <c r="B7" t="s">
        <v>882</v>
      </c>
      <c r="C7" s="22">
        <v>2.504</v>
      </c>
      <c r="D7" s="3">
        <v>3.7949999999999999</v>
      </c>
      <c r="E7" s="22">
        <v>3.383</v>
      </c>
      <c r="F7" s="1" t="str">
        <f>HYPERLINK("http://www.ncbi.nlm.nih.gov/pubmed/?term=Plce1","Plce1")</f>
        <v>Plce1</v>
      </c>
    </row>
    <row r="8" spans="1:6" x14ac:dyDescent="0.25">
      <c r="A8" t="s">
        <v>1034</v>
      </c>
      <c r="B8" t="s">
        <v>1268</v>
      </c>
      <c r="C8" s="26">
        <v>0.43269999999999997</v>
      </c>
      <c r="D8" s="16">
        <v>4.952</v>
      </c>
      <c r="E8" s="3">
        <v>4.4619999999999997</v>
      </c>
      <c r="F8" s="1" t="str">
        <f>HYPERLINK("http://www.ncbi.nlm.nih.gov/pubmed/?term=Inpp5d","Inpp5d")</f>
        <v>Inpp5d</v>
      </c>
    </row>
    <row r="9" spans="1:6" x14ac:dyDescent="0.25">
      <c r="A9" t="s">
        <v>951</v>
      </c>
      <c r="B9" t="s">
        <v>1862</v>
      </c>
      <c r="C9" s="3">
        <v>3.51</v>
      </c>
      <c r="D9" s="16">
        <v>4.5170000000000003</v>
      </c>
      <c r="E9" s="3">
        <v>3.9710000000000001</v>
      </c>
      <c r="F9" s="1" t="str">
        <f>HYPERLINK("http://www.ncbi.nlm.nih.gov/pubmed/?term=Inppl1","Inppl1")</f>
        <v>Inppl1</v>
      </c>
    </row>
    <row r="10" spans="1:6" x14ac:dyDescent="0.25">
      <c r="A10" t="s">
        <v>276</v>
      </c>
      <c r="B10" t="s">
        <v>1181</v>
      </c>
      <c r="C10" s="22">
        <v>2.7959999999999998</v>
      </c>
      <c r="D10" s="16">
        <v>4.8380000000000001</v>
      </c>
      <c r="E10" s="22">
        <v>3.4089999999999998</v>
      </c>
      <c r="F10" s="1" t="str">
        <f>HYPERLINK("http://www.ncbi.nlm.nih.gov/pubmed/?term=Plcg2","Plcg2")</f>
        <v>Plcg2</v>
      </c>
    </row>
    <row r="11" spans="1:6" x14ac:dyDescent="0.25">
      <c r="A11" t="s">
        <v>1212</v>
      </c>
      <c r="B11" t="s">
        <v>1935</v>
      </c>
      <c r="C11" s="26">
        <v>-0.58730000000000004</v>
      </c>
      <c r="D11" s="43">
        <v>6.1760000000000002</v>
      </c>
      <c r="E11" s="22">
        <v>2.665</v>
      </c>
      <c r="F11" s="1" t="str">
        <f>HYPERLINK("http://www.ncbi.nlm.nih.gov/pubmed/?term=Plcb2","Plcb2")</f>
        <v>Plcb2</v>
      </c>
    </row>
    <row r="12" spans="1:6" x14ac:dyDescent="0.25">
      <c r="A12" t="s">
        <v>48</v>
      </c>
      <c r="B12" t="s">
        <v>1455</v>
      </c>
      <c r="C12" s="3">
        <v>4.3250000000000002</v>
      </c>
      <c r="D12" s="43">
        <v>5.5780000000000003</v>
      </c>
      <c r="E12" s="43">
        <v>5.9649999999999999</v>
      </c>
      <c r="F12" s="1" t="str">
        <f>HYPERLINK("http://www.ncbi.nlm.nih.gov/pubmed/?term=Isyna1","Isyna1")</f>
        <v>Isyna1</v>
      </c>
    </row>
    <row r="13" spans="1:6" x14ac:dyDescent="0.25">
      <c r="A13" t="s">
        <v>393</v>
      </c>
      <c r="B13" t="s">
        <v>2119</v>
      </c>
      <c r="C13" s="43">
        <v>6.0830000000000002</v>
      </c>
      <c r="D13" s="43">
        <v>6.2190000000000003</v>
      </c>
      <c r="E13" s="43">
        <v>7.24</v>
      </c>
      <c r="F13" s="1" t="str">
        <f>HYPERLINK("http://www.ncbi.nlm.nih.gov/pubmed/?term=Tpi1","Tpi1")</f>
        <v>Tpi1</v>
      </c>
    </row>
    <row r="14" spans="1:6" x14ac:dyDescent="0.25">
      <c r="A14" t="s">
        <v>1655</v>
      </c>
      <c r="B14" t="s">
        <v>260</v>
      </c>
      <c r="C14" s="26">
        <v>-4.9090000000000002E-2</v>
      </c>
      <c r="D14" s="3">
        <v>3.6469999999999998</v>
      </c>
      <c r="E14" s="43">
        <v>6.85</v>
      </c>
      <c r="F14" s="1" t="str">
        <f>HYPERLINK("http://www.ncbi.nlm.nih.gov/pubmed/?term=Pip5k1b","Pip5k1b")</f>
        <v>Pip5k1b</v>
      </c>
    </row>
    <row r="15" spans="1:6" x14ac:dyDescent="0.25">
      <c r="A15" t="s">
        <v>602</v>
      </c>
      <c r="B15" t="s">
        <v>1267</v>
      </c>
      <c r="C15" s="41">
        <v>1.7769999999999999</v>
      </c>
      <c r="D15" s="16">
        <v>4.6479999999999997</v>
      </c>
      <c r="E15" s="16">
        <v>5.1669999999999998</v>
      </c>
      <c r="F15" s="1" t="str">
        <f>HYPERLINK("http://www.ncbi.nlm.nih.gov/pubmed/?term=Inpp5b","Inpp5b")</f>
        <v>Inpp5b</v>
      </c>
    </row>
    <row r="16" spans="1:6" x14ac:dyDescent="0.25">
      <c r="A16" t="s">
        <v>1932</v>
      </c>
      <c r="B16" t="s">
        <v>2087</v>
      </c>
      <c r="C16" s="3">
        <v>3.9390000000000001</v>
      </c>
      <c r="D16" s="16">
        <v>4.8140000000000001</v>
      </c>
      <c r="E16" s="16">
        <v>5.2080000000000002</v>
      </c>
      <c r="F16" s="1" t="str">
        <f>HYPERLINK("http://www.ncbi.nlm.nih.gov/pubmed/?term=Cdipt","Cdipt")</f>
        <v>Cdipt</v>
      </c>
    </row>
    <row r="17" spans="1:6" x14ac:dyDescent="0.25">
      <c r="A17" t="s">
        <v>333</v>
      </c>
      <c r="B17" t="s">
        <v>1460</v>
      </c>
      <c r="C17" s="26">
        <v>0.44829999999999998</v>
      </c>
      <c r="D17" s="41">
        <v>2.1360000000000001</v>
      </c>
      <c r="E17" s="3">
        <v>3.8809999999999998</v>
      </c>
      <c r="F17" s="1" t="str">
        <f>HYPERLINK("http://www.ncbi.nlm.nih.gov/pubmed/?term=Pik3cb","Pik3cb")</f>
        <v>Pik3cb</v>
      </c>
    </row>
    <row r="18" spans="1:6" x14ac:dyDescent="0.25">
      <c r="A18" t="s">
        <v>1142</v>
      </c>
      <c r="B18" t="s">
        <v>848</v>
      </c>
      <c r="C18" s="22">
        <v>3.3780000000000001</v>
      </c>
      <c r="D18" s="22">
        <v>3.133</v>
      </c>
      <c r="E18" s="41">
        <v>1.583</v>
      </c>
      <c r="F18" s="1" t="str">
        <f>HYPERLINK("http://www.ncbi.nlm.nih.gov/pubmed/?term=Ocrl","Ocrl")</f>
        <v>Ocrl</v>
      </c>
    </row>
    <row r="19" spans="1:6" x14ac:dyDescent="0.25">
      <c r="A19" t="s">
        <v>1325</v>
      </c>
      <c r="B19" t="s">
        <v>1020</v>
      </c>
      <c r="C19" s="16">
        <v>4.6929999999999996</v>
      </c>
      <c r="D19" s="3">
        <v>3.6240000000000001</v>
      </c>
      <c r="E19" s="41">
        <v>1.9930000000000001</v>
      </c>
      <c r="F19" s="1" t="str">
        <f>HYPERLINK("http://www.ncbi.nlm.nih.gov/pubmed/?term=Plcd1","Plcd1")</f>
        <v>Plcd1</v>
      </c>
    </row>
    <row r="20" spans="1:6" x14ac:dyDescent="0.25">
      <c r="A20" t="s">
        <v>78</v>
      </c>
      <c r="B20" t="s">
        <v>1182</v>
      </c>
      <c r="C20" s="16">
        <v>4.6639999999999997</v>
      </c>
      <c r="D20" s="16">
        <v>4.6269999999999998</v>
      </c>
      <c r="E20" s="22">
        <v>2.9020000000000001</v>
      </c>
      <c r="F20" s="1" t="str">
        <f>HYPERLINK("http://www.ncbi.nlm.nih.gov/pubmed/?term=Plcg1","Plcg1")</f>
        <v>Plcg1</v>
      </c>
    </row>
    <row r="21" spans="1:6" x14ac:dyDescent="0.25">
      <c r="A21" t="s">
        <v>1970</v>
      </c>
      <c r="B21" t="s">
        <v>1799</v>
      </c>
      <c r="C21" s="3">
        <v>4.4329999999999998</v>
      </c>
      <c r="D21" s="22">
        <v>2.7869999999999999</v>
      </c>
      <c r="E21" s="21">
        <v>1.194</v>
      </c>
      <c r="F21" s="1" t="str">
        <f>HYPERLINK("http://www.ncbi.nlm.nih.gov/pubmed/?term=Aldh6a1","Aldh6a1")</f>
        <v>Aldh6a1</v>
      </c>
    </row>
    <row r="22" spans="1:6" x14ac:dyDescent="0.25">
      <c r="A22" t="s">
        <v>407</v>
      </c>
      <c r="B22" t="s">
        <v>2146</v>
      </c>
      <c r="C22" s="3">
        <v>4.024</v>
      </c>
      <c r="D22" s="22">
        <v>3.2320000000000002</v>
      </c>
      <c r="E22" s="22">
        <v>2.8780000000000001</v>
      </c>
      <c r="F22" s="1" t="str">
        <f>HYPERLINK("http://www.ncbi.nlm.nih.gov/pubmed/?term=Itpk1","Itpk1")</f>
        <v>Itpk1</v>
      </c>
    </row>
    <row r="23" spans="1:6" x14ac:dyDescent="0.25">
      <c r="A23" t="s">
        <v>698</v>
      </c>
      <c r="B23" t="s">
        <v>365</v>
      </c>
      <c r="C23" s="3">
        <v>4.4690000000000003</v>
      </c>
      <c r="D23" s="22">
        <v>3.4969999999999999</v>
      </c>
      <c r="E23" s="22">
        <v>2.5619999999999998</v>
      </c>
      <c r="F23" s="1" t="str">
        <f>HYPERLINK("http://www.ncbi.nlm.nih.gov/pubmed/?term=Impad1","Impad1")</f>
        <v>Impad1</v>
      </c>
    </row>
    <row r="24" spans="1:6" x14ac:dyDescent="0.25">
      <c r="A24" t="s">
        <v>1246</v>
      </c>
      <c r="B24" t="s">
        <v>1136</v>
      </c>
      <c r="C24" s="16">
        <v>4.6719999999999997</v>
      </c>
      <c r="D24" s="3">
        <v>4.3689999999999998</v>
      </c>
      <c r="E24" s="43">
        <v>7.0529999999999999</v>
      </c>
      <c r="F24" s="1" t="str">
        <f>HYPERLINK("http://www.ncbi.nlm.nih.gov/pubmed/?term=Synj2","Synj2")</f>
        <v>Synj2</v>
      </c>
    </row>
    <row r="25" spans="1:6" x14ac:dyDescent="0.25">
      <c r="A25" t="s">
        <v>111</v>
      </c>
      <c r="B25" t="s">
        <v>1266</v>
      </c>
      <c r="C25" s="16">
        <v>5.0369999999999999</v>
      </c>
      <c r="D25" s="3">
        <v>3.605</v>
      </c>
      <c r="E25" s="3">
        <v>3.9809999999999999</v>
      </c>
      <c r="F25" s="1" t="str">
        <f>HYPERLINK("http://www.ncbi.nlm.nih.gov/pubmed/?term=Inpp5a","Inpp5a")</f>
        <v>Inpp5a</v>
      </c>
    </row>
    <row r="26" spans="1:6" x14ac:dyDescent="0.25">
      <c r="A26" t="s">
        <v>1531</v>
      </c>
      <c r="B26" t="s">
        <v>277</v>
      </c>
      <c r="C26" s="43">
        <v>5.8109999999999999</v>
      </c>
      <c r="D26" s="3">
        <v>3.8580000000000001</v>
      </c>
      <c r="E26" s="3">
        <v>4.306</v>
      </c>
      <c r="F26" s="1" t="str">
        <f>HYPERLINK("http://www.ncbi.nlm.nih.gov/pubmed/?term=Inpp1","Inpp1")</f>
        <v>Inpp1</v>
      </c>
    </row>
    <row r="27" spans="1:6" x14ac:dyDescent="0.25">
      <c r="A27" t="s">
        <v>989</v>
      </c>
      <c r="B27" t="s">
        <v>761</v>
      </c>
      <c r="C27" s="16">
        <v>5.3520000000000003</v>
      </c>
      <c r="D27" s="3">
        <v>3.9340000000000002</v>
      </c>
      <c r="E27" s="3">
        <v>4.4850000000000003</v>
      </c>
      <c r="F27" s="1" t="str">
        <f>HYPERLINK("http://www.ncbi.nlm.nih.gov/pubmed/?term=Pip4k2a","Pip4k2a")</f>
        <v>Pip4k2a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665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745</v>
      </c>
      <c r="B5" t="s">
        <v>1704</v>
      </c>
      <c r="C5" s="26">
        <v>-2.6360000000000001</v>
      </c>
      <c r="D5" s="28">
        <v>5.8220000000000001</v>
      </c>
      <c r="E5" s="14">
        <v>0.92500000000000004</v>
      </c>
      <c r="F5" s="1" t="str">
        <f>HYPERLINK("http://www.ncbi.nlm.nih.gov/pubmed/?term=Hck","Hck")</f>
        <v>Hck</v>
      </c>
    </row>
    <row r="6" spans="1:6" x14ac:dyDescent="0.25">
      <c r="A6" t="s">
        <v>2016</v>
      </c>
      <c r="B6" t="s">
        <v>1464</v>
      </c>
      <c r="C6" s="26">
        <v>-0.25159999999999999</v>
      </c>
      <c r="D6" s="27">
        <v>4.952</v>
      </c>
      <c r="E6" s="14">
        <v>0.69540000000000002</v>
      </c>
      <c r="F6" s="1" t="str">
        <f>HYPERLINK("http://www.ncbi.nlm.nih.gov/pubmed/?term=Pik3cg","Pik3cg")</f>
        <v>Pik3cg</v>
      </c>
    </row>
    <row r="7" spans="1:6" x14ac:dyDescent="0.25">
      <c r="A7" t="s">
        <v>1171</v>
      </c>
      <c r="B7" t="s">
        <v>689</v>
      </c>
      <c r="C7" s="36">
        <v>1.607</v>
      </c>
      <c r="D7" s="42">
        <v>3.5720000000000001</v>
      </c>
      <c r="E7" s="36">
        <v>2.0129999999999999</v>
      </c>
      <c r="F7" s="1" t="str">
        <f>HYPERLINK("http://www.ncbi.nlm.nih.gov/pubmed/?term=Pld2","Pld2")</f>
        <v>Pld2</v>
      </c>
    </row>
    <row r="8" spans="1:6" x14ac:dyDescent="0.25">
      <c r="A8" t="s">
        <v>1335</v>
      </c>
      <c r="B8" t="s">
        <v>1328</v>
      </c>
      <c r="C8" s="14">
        <v>0.53520000000000001</v>
      </c>
      <c r="D8" s="28">
        <v>5.8090000000000002</v>
      </c>
      <c r="E8" s="47">
        <v>2.5489999999999999</v>
      </c>
      <c r="F8" s="1" t="str">
        <f>HYPERLINK("http://www.ncbi.nlm.nih.gov/pubmed/?term=Pik3r5","Pik3r5")</f>
        <v>Pik3r5</v>
      </c>
    </row>
    <row r="9" spans="1:6" x14ac:dyDescent="0.25">
      <c r="A9" t="s">
        <v>1034</v>
      </c>
      <c r="B9" t="s">
        <v>1268</v>
      </c>
      <c r="C9" s="26">
        <v>0.43269999999999997</v>
      </c>
      <c r="D9" s="27">
        <v>4.952</v>
      </c>
      <c r="E9" s="42">
        <v>4.4619999999999997</v>
      </c>
      <c r="F9" s="1" t="str">
        <f>HYPERLINK("http://www.ncbi.nlm.nih.gov/pubmed/?term=Inpp5d","Inpp5d")</f>
        <v>Inpp5d</v>
      </c>
    </row>
    <row r="10" spans="1:6" x14ac:dyDescent="0.25">
      <c r="A10" t="s">
        <v>1231</v>
      </c>
      <c r="B10" t="s">
        <v>453</v>
      </c>
      <c r="C10" s="47">
        <v>3.1230000000000002</v>
      </c>
      <c r="D10" s="43">
        <v>7.5839999999999996</v>
      </c>
      <c r="E10" s="27">
        <v>5.0309999999999997</v>
      </c>
      <c r="F10" s="1" t="str">
        <f>HYPERLINK("http://www.ncbi.nlm.nih.gov/pubmed/?term=Gsn","Gsn")</f>
        <v>Gsn</v>
      </c>
    </row>
    <row r="11" spans="1:6" x14ac:dyDescent="0.25">
      <c r="A11" t="s">
        <v>1012</v>
      </c>
      <c r="B11" t="s">
        <v>608</v>
      </c>
      <c r="C11" s="14">
        <v>0.79710000000000003</v>
      </c>
      <c r="D11" s="42">
        <v>3.81</v>
      </c>
      <c r="E11" s="36">
        <v>2.1230000000000002</v>
      </c>
      <c r="F11" s="1" t="str">
        <f>HYPERLINK("http://www.ncbi.nlm.nih.gov/pubmed/?term=Pak1","Pak1")</f>
        <v>Pak1</v>
      </c>
    </row>
    <row r="12" spans="1:6" x14ac:dyDescent="0.25">
      <c r="A12" t="s">
        <v>951</v>
      </c>
      <c r="B12" t="s">
        <v>1862</v>
      </c>
      <c r="C12" s="42">
        <v>3.51</v>
      </c>
      <c r="D12" s="27">
        <v>4.5170000000000003</v>
      </c>
      <c r="E12" s="42">
        <v>3.9710000000000001</v>
      </c>
      <c r="F12" s="1" t="str">
        <f>HYPERLINK("http://www.ncbi.nlm.nih.gov/pubmed/?term=Inppl1","Inppl1")</f>
        <v>Inppl1</v>
      </c>
    </row>
    <row r="13" spans="1:6" x14ac:dyDescent="0.25">
      <c r="A13" t="s">
        <v>1828</v>
      </c>
      <c r="B13" t="s">
        <v>1532</v>
      </c>
      <c r="C13" s="36">
        <v>1.986</v>
      </c>
      <c r="D13" s="28">
        <v>5.7009999999999996</v>
      </c>
      <c r="E13" s="47">
        <v>2.6230000000000002</v>
      </c>
      <c r="F13" s="1" t="str">
        <f>HYPERLINK("http://www.ncbi.nlm.nih.gov/pubmed/?term=Vav1","Vav1")</f>
        <v>Vav1</v>
      </c>
    </row>
    <row r="14" spans="1:6" x14ac:dyDescent="0.25">
      <c r="A14" t="s">
        <v>276</v>
      </c>
      <c r="B14" t="s">
        <v>1181</v>
      </c>
      <c r="C14" s="47">
        <v>2.7959999999999998</v>
      </c>
      <c r="D14" s="27">
        <v>4.8380000000000001</v>
      </c>
      <c r="E14" s="47">
        <v>3.4089999999999998</v>
      </c>
      <c r="F14" s="1" t="str">
        <f>HYPERLINK("http://www.ncbi.nlm.nih.gov/pubmed/?term=Plcg2","Plcg2")</f>
        <v>Plcg2</v>
      </c>
    </row>
    <row r="15" spans="1:6" x14ac:dyDescent="0.25">
      <c r="A15" t="s">
        <v>1080</v>
      </c>
      <c r="B15" t="s">
        <v>43</v>
      </c>
      <c r="C15" s="14">
        <v>0.56659999999999999</v>
      </c>
      <c r="D15" s="42">
        <v>3.5830000000000002</v>
      </c>
      <c r="E15" s="47">
        <v>2.5880000000000001</v>
      </c>
      <c r="F15" s="1" t="str">
        <f>HYPERLINK("http://www.ncbi.nlm.nih.gov/pubmed/?term=Ppap2c","Ppap2c")</f>
        <v>Ppap2c</v>
      </c>
    </row>
    <row r="16" spans="1:6" x14ac:dyDescent="0.25">
      <c r="A16" t="s">
        <v>1216</v>
      </c>
      <c r="B16" t="s">
        <v>259</v>
      </c>
      <c r="C16" s="47">
        <v>2.5670000000000002</v>
      </c>
      <c r="D16" s="42">
        <v>3.6139999999999999</v>
      </c>
      <c r="E16" s="27">
        <v>4.75</v>
      </c>
      <c r="F16" s="1" t="str">
        <f>HYPERLINK("http://www.ncbi.nlm.nih.gov/pubmed/?term=Scin","Scin")</f>
        <v>Scin</v>
      </c>
    </row>
    <row r="17" spans="1:6" x14ac:dyDescent="0.25">
      <c r="A17" t="s">
        <v>421</v>
      </c>
      <c r="B17" t="s">
        <v>1535</v>
      </c>
      <c r="C17" s="36">
        <v>2.2810000000000001</v>
      </c>
      <c r="D17" s="47">
        <v>2.8679999999999999</v>
      </c>
      <c r="E17" s="42">
        <v>4.0170000000000003</v>
      </c>
      <c r="F17" s="1" t="str">
        <f>HYPERLINK("http://www.ncbi.nlm.nih.gov/pubmed/?term=Vav2","Vav2")</f>
        <v>Vav2</v>
      </c>
    </row>
    <row r="18" spans="1:6" x14ac:dyDescent="0.25">
      <c r="A18" t="s">
        <v>925</v>
      </c>
      <c r="B18" t="s">
        <v>874</v>
      </c>
      <c r="C18" s="26">
        <v>-0.30590000000000001</v>
      </c>
      <c r="D18" s="47">
        <v>3.0009999999999999</v>
      </c>
      <c r="E18" s="43">
        <v>8.1969999999999992</v>
      </c>
      <c r="F18" s="1" t="str">
        <f>HYPERLINK("http://www.ncbi.nlm.nih.gov/pubmed/?term=Ncf1","Ncf1")</f>
        <v>Ncf1</v>
      </c>
    </row>
    <row r="19" spans="1:6" x14ac:dyDescent="0.25">
      <c r="A19" t="s">
        <v>1908</v>
      </c>
      <c r="B19" t="s">
        <v>17</v>
      </c>
      <c r="C19" s="26">
        <v>-1.9039999999999999</v>
      </c>
      <c r="D19" s="36">
        <v>2.2519999999999998</v>
      </c>
      <c r="E19" s="42">
        <v>3.5659999999999998</v>
      </c>
      <c r="F19" s="1" t="str">
        <f>HYPERLINK("http://www.ncbi.nlm.nih.gov/pubmed/?term=Amph","Amph")</f>
        <v>Amph</v>
      </c>
    </row>
    <row r="20" spans="1:6" x14ac:dyDescent="0.25">
      <c r="A20" t="s">
        <v>1599</v>
      </c>
      <c r="B20" t="s">
        <v>225</v>
      </c>
      <c r="C20" s="14">
        <v>0.73909999999999998</v>
      </c>
      <c r="D20" s="47">
        <v>3.1890000000000001</v>
      </c>
      <c r="E20" s="27">
        <v>4.5190000000000001</v>
      </c>
      <c r="F20" s="1" t="str">
        <f>HYPERLINK("http://www.ncbi.nlm.nih.gov/pubmed/?term=Syk","Syk")</f>
        <v>Syk</v>
      </c>
    </row>
    <row r="21" spans="1:6" x14ac:dyDescent="0.25">
      <c r="A21" t="s">
        <v>1655</v>
      </c>
      <c r="B21" t="s">
        <v>260</v>
      </c>
      <c r="C21" s="26">
        <v>-4.9090000000000002E-2</v>
      </c>
      <c r="D21" s="42">
        <v>3.6469999999999998</v>
      </c>
      <c r="E21" s="43">
        <v>6.85</v>
      </c>
      <c r="F21" s="1" t="str">
        <f>HYPERLINK("http://www.ncbi.nlm.nih.gov/pubmed/?term=Pip5k1b","Pip5k1b")</f>
        <v>Pip5k1b</v>
      </c>
    </row>
    <row r="22" spans="1:6" x14ac:dyDescent="0.25">
      <c r="A22" t="s">
        <v>1474</v>
      </c>
      <c r="B22" t="s">
        <v>1976</v>
      </c>
      <c r="C22" s="42">
        <v>3.9710000000000001</v>
      </c>
      <c r="D22" s="27">
        <v>4.7439999999999998</v>
      </c>
      <c r="E22" s="43">
        <v>6.95</v>
      </c>
      <c r="F22" s="1" t="str">
        <f>HYPERLINK("http://www.ncbi.nlm.nih.gov/pubmed/?term=Pld1","Pld1")</f>
        <v>Pld1</v>
      </c>
    </row>
    <row r="23" spans="1:6" x14ac:dyDescent="0.25">
      <c r="A23" t="s">
        <v>333</v>
      </c>
      <c r="B23" t="s">
        <v>1460</v>
      </c>
      <c r="C23" s="26">
        <v>0.44829999999999998</v>
      </c>
      <c r="D23" s="36">
        <v>2.1360000000000001</v>
      </c>
      <c r="E23" s="42">
        <v>3.8809999999999998</v>
      </c>
      <c r="F23" s="1" t="str">
        <f>HYPERLINK("http://www.ncbi.nlm.nih.gov/pubmed/?term=Pik3cb","Pik3cb")</f>
        <v>Pik3cb</v>
      </c>
    </row>
    <row r="24" spans="1:6" x14ac:dyDescent="0.25">
      <c r="A24" t="s">
        <v>674</v>
      </c>
      <c r="B24" t="s">
        <v>1949</v>
      </c>
      <c r="C24" s="47">
        <v>2.6110000000000002</v>
      </c>
      <c r="D24" s="42">
        <v>4.2789999999999999</v>
      </c>
      <c r="E24" s="43">
        <v>6.8239999999999998</v>
      </c>
      <c r="F24" s="1" t="str">
        <f>HYPERLINK("http://www.ncbi.nlm.nih.gov/pubmed/?term=Rac2","Rac2")</f>
        <v>Rac2</v>
      </c>
    </row>
    <row r="25" spans="1:6" x14ac:dyDescent="0.25">
      <c r="A25" t="s">
        <v>66</v>
      </c>
      <c r="B25" t="s">
        <v>385</v>
      </c>
      <c r="C25" s="36">
        <v>1.5640000000000001</v>
      </c>
      <c r="D25" s="36">
        <v>1.84</v>
      </c>
      <c r="E25" s="47">
        <v>3.476</v>
      </c>
      <c r="F25" s="1" t="str">
        <f>HYPERLINK("http://www.ncbi.nlm.nih.gov/pubmed/?term=Dnm3","Dnm3")</f>
        <v>Dnm3</v>
      </c>
    </row>
    <row r="26" spans="1:6" x14ac:dyDescent="0.25">
      <c r="A26" t="s">
        <v>1116</v>
      </c>
      <c r="B26" t="s">
        <v>432</v>
      </c>
      <c r="C26" s="14">
        <v>1.321</v>
      </c>
      <c r="D26" s="47">
        <v>3.4740000000000002</v>
      </c>
      <c r="E26" s="42">
        <v>3.508</v>
      </c>
      <c r="F26" s="1" t="str">
        <f>HYPERLINK("http://www.ncbi.nlm.nih.gov/pubmed/?term=Lyn","Lyn")</f>
        <v>Lyn</v>
      </c>
    </row>
    <row r="27" spans="1:6" x14ac:dyDescent="0.25">
      <c r="A27" t="s">
        <v>1725</v>
      </c>
      <c r="B27" t="s">
        <v>962</v>
      </c>
      <c r="C27" s="43">
        <v>6.7919999999999998</v>
      </c>
      <c r="D27" s="43">
        <v>7.4420000000000002</v>
      </c>
      <c r="E27" s="43">
        <v>8.3170000000000002</v>
      </c>
      <c r="F27" s="1" t="str">
        <f>HYPERLINK("http://www.ncbi.nlm.nih.gov/pubmed/?term=Marcksl1","Marcksl1")</f>
        <v>Marcksl1</v>
      </c>
    </row>
    <row r="28" spans="1:6" x14ac:dyDescent="0.25">
      <c r="A28" t="s">
        <v>909</v>
      </c>
      <c r="B28" t="s">
        <v>1766</v>
      </c>
      <c r="C28" s="14">
        <v>1.18</v>
      </c>
      <c r="D28" s="42">
        <v>4.4390000000000001</v>
      </c>
      <c r="E28" s="28">
        <v>6.1040000000000001</v>
      </c>
      <c r="F28" s="1" t="str">
        <f>HYPERLINK("http://www.ncbi.nlm.nih.gov/pubmed/?term=Pla2g4a","Pla2g4a")</f>
        <v>Pla2g4a</v>
      </c>
    </row>
    <row r="29" spans="1:6" x14ac:dyDescent="0.25">
      <c r="A29" t="s">
        <v>1642</v>
      </c>
      <c r="B29" t="s">
        <v>1770</v>
      </c>
      <c r="C29" s="27">
        <v>5.0229999999999997</v>
      </c>
      <c r="D29" s="28">
        <v>5.766</v>
      </c>
      <c r="E29" s="42">
        <v>3.9350000000000001</v>
      </c>
      <c r="F29" s="1" t="str">
        <f>HYPERLINK("http://www.ncbi.nlm.nih.gov/pubmed/?term=Limk2","Limk2")</f>
        <v>Limk2</v>
      </c>
    </row>
    <row r="30" spans="1:6" x14ac:dyDescent="0.25">
      <c r="A30" t="s">
        <v>469</v>
      </c>
      <c r="B30" t="s">
        <v>286</v>
      </c>
      <c r="C30" s="42">
        <v>4.141</v>
      </c>
      <c r="D30" s="27">
        <v>4.5010000000000003</v>
      </c>
      <c r="E30" s="47">
        <v>2.661</v>
      </c>
      <c r="F30" s="1" t="str">
        <f>HYPERLINK("http://www.ncbi.nlm.nih.gov/pubmed/?term=Ppap2a","Ppap2a")</f>
        <v>Ppap2a</v>
      </c>
    </row>
    <row r="31" spans="1:6" x14ac:dyDescent="0.25">
      <c r="A31" t="s">
        <v>534</v>
      </c>
      <c r="B31" t="s">
        <v>1534</v>
      </c>
      <c r="C31" s="42">
        <v>3.738</v>
      </c>
      <c r="D31" s="27">
        <v>4.6950000000000003</v>
      </c>
      <c r="E31" s="47">
        <v>3.3279999999999998</v>
      </c>
      <c r="F31" s="1" t="str">
        <f>HYPERLINK("http://www.ncbi.nlm.nih.gov/pubmed/?term=Vav3","Vav3")</f>
        <v>Vav3</v>
      </c>
    </row>
    <row r="32" spans="1:6" x14ac:dyDescent="0.25">
      <c r="A32" t="s">
        <v>1733</v>
      </c>
      <c r="B32" t="s">
        <v>1829</v>
      </c>
      <c r="C32" s="42">
        <v>3.9809999999999999</v>
      </c>
      <c r="D32" s="47">
        <v>3.1789999999999998</v>
      </c>
      <c r="E32" s="47">
        <v>2.843</v>
      </c>
      <c r="F32" s="1" t="str">
        <f>HYPERLINK("http://www.ncbi.nlm.nih.gov/pubmed/?term=Crkl","Crkl")</f>
        <v>Crkl</v>
      </c>
    </row>
    <row r="33" spans="1:6" x14ac:dyDescent="0.25">
      <c r="A33" t="s">
        <v>145</v>
      </c>
      <c r="B33" t="s">
        <v>772</v>
      </c>
      <c r="C33" s="43">
        <v>7.319</v>
      </c>
      <c r="D33" s="28">
        <v>6.4249999999999998</v>
      </c>
      <c r="E33" s="28">
        <v>6.0250000000000004</v>
      </c>
      <c r="F33" s="1" t="str">
        <f>HYPERLINK("http://www.ncbi.nlm.nih.gov/pubmed/?term=Arpc2","Arpc2")</f>
        <v>Arpc2</v>
      </c>
    </row>
    <row r="34" spans="1:6" x14ac:dyDescent="0.25">
      <c r="A34" t="s">
        <v>78</v>
      </c>
      <c r="B34" t="s">
        <v>1182</v>
      </c>
      <c r="C34" s="27">
        <v>4.6639999999999997</v>
      </c>
      <c r="D34" s="27">
        <v>4.6269999999999998</v>
      </c>
      <c r="E34" s="47">
        <v>2.9020000000000001</v>
      </c>
      <c r="F34" s="1" t="str">
        <f>HYPERLINK("http://www.ncbi.nlm.nih.gov/pubmed/?term=Plcg1","Plcg1")</f>
        <v>Plcg1</v>
      </c>
    </row>
    <row r="35" spans="1:6" x14ac:dyDescent="0.25">
      <c r="A35" t="s">
        <v>641</v>
      </c>
      <c r="B35" t="s">
        <v>346</v>
      </c>
      <c r="C35" s="28">
        <v>5.5090000000000003</v>
      </c>
      <c r="D35" s="27">
        <v>4.79</v>
      </c>
      <c r="E35" s="42">
        <v>4.3810000000000002</v>
      </c>
      <c r="F35" s="1" t="str">
        <f>HYPERLINK("http://www.ncbi.nlm.nih.gov/pubmed/?term=Crk","Crk")</f>
        <v>Crk</v>
      </c>
    </row>
    <row r="36" spans="1:6" x14ac:dyDescent="0.25">
      <c r="A36" t="s">
        <v>806</v>
      </c>
      <c r="B36" t="s">
        <v>1622</v>
      </c>
      <c r="C36" s="28">
        <v>6.0339999999999998</v>
      </c>
      <c r="D36" s="27">
        <v>5.3979999999999997</v>
      </c>
      <c r="E36" s="27">
        <v>4.5990000000000002</v>
      </c>
      <c r="F36" s="1" t="str">
        <f>HYPERLINK("http://www.ncbi.nlm.nih.gov/pubmed/?term=Myo10","Myo10")</f>
        <v>Myo10</v>
      </c>
    </row>
    <row r="37" spans="1:6" x14ac:dyDescent="0.25">
      <c r="A37" t="s">
        <v>413</v>
      </c>
      <c r="B37" t="s">
        <v>571</v>
      </c>
      <c r="C37" s="42">
        <v>3.6440000000000001</v>
      </c>
      <c r="D37" s="36">
        <v>2.0840000000000001</v>
      </c>
      <c r="E37" s="26">
        <v>-0.11409999999999999</v>
      </c>
      <c r="F37" s="1" t="str">
        <f>HYPERLINK("http://www.ncbi.nlm.nih.gov/pubmed/?term=Ptprc","Ptprc")</f>
        <v>Ptprc</v>
      </c>
    </row>
    <row r="38" spans="1:6" x14ac:dyDescent="0.25">
      <c r="A38" t="s">
        <v>1205</v>
      </c>
      <c r="B38" t="s">
        <v>1329</v>
      </c>
      <c r="C38" s="28">
        <v>5.6820000000000004</v>
      </c>
      <c r="D38" s="27">
        <v>5.0220000000000002</v>
      </c>
      <c r="E38" s="27">
        <v>4.7060000000000004</v>
      </c>
      <c r="F38" s="1" t="str">
        <f>HYPERLINK("http://www.ncbi.nlm.nih.gov/pubmed/?term=Pik3r2","Pik3r2")</f>
        <v>Pik3r2</v>
      </c>
    </row>
    <row r="39" spans="1:6" x14ac:dyDescent="0.25">
      <c r="A39" t="s">
        <v>731</v>
      </c>
      <c r="B39" t="s">
        <v>1330</v>
      </c>
      <c r="C39" s="27">
        <v>4.9180000000000001</v>
      </c>
      <c r="D39" s="27">
        <v>4.8079999999999998</v>
      </c>
      <c r="E39" s="42">
        <v>3.7410000000000001</v>
      </c>
      <c r="F39" s="1" t="str">
        <f>HYPERLINK("http://www.ncbi.nlm.nih.gov/pubmed/?term=Pik3r1","Pik3r1")</f>
        <v>Pik3r1</v>
      </c>
    </row>
    <row r="40" spans="1:6" x14ac:dyDescent="0.25">
      <c r="A40" t="s">
        <v>452</v>
      </c>
      <c r="B40" t="s">
        <v>1740</v>
      </c>
      <c r="C40" s="28">
        <v>5.5750000000000002</v>
      </c>
      <c r="D40" s="42">
        <v>4.0350000000000001</v>
      </c>
      <c r="E40" s="36">
        <v>2.4390000000000001</v>
      </c>
      <c r="F40" s="1" t="str">
        <f>HYPERLINK("http://www.ncbi.nlm.nih.gov/pubmed/?term=Cfl2","Cfl2")</f>
        <v>Cfl2</v>
      </c>
    </row>
    <row r="41" spans="1:6" x14ac:dyDescent="0.25">
      <c r="A41" t="s">
        <v>1746</v>
      </c>
      <c r="B41" t="s">
        <v>706</v>
      </c>
      <c r="C41" s="14">
        <v>1.1040000000000001</v>
      </c>
      <c r="D41" s="14">
        <v>0.68579999999999997</v>
      </c>
      <c r="E41" s="42">
        <v>3.6360000000000001</v>
      </c>
      <c r="F41" s="1" t="str">
        <f>HYPERLINK("http://www.ncbi.nlm.nih.gov/pubmed/?term=Dock2","Dock2")</f>
        <v>Dock2</v>
      </c>
    </row>
    <row r="42" spans="1:6" x14ac:dyDescent="0.25">
      <c r="A42" t="s">
        <v>1880</v>
      </c>
      <c r="B42" t="s">
        <v>1077</v>
      </c>
      <c r="C42" s="42">
        <v>3.6549999999999998</v>
      </c>
      <c r="D42" s="47">
        <v>3.3140000000000001</v>
      </c>
      <c r="E42" s="28">
        <v>6.2270000000000003</v>
      </c>
      <c r="F42" s="1" t="str">
        <f>HYPERLINK("http://www.ncbi.nlm.nih.gov/pubmed/?term=Prkca","Prkca")</f>
        <v>Prkca</v>
      </c>
    </row>
    <row r="43" spans="1:6" x14ac:dyDescent="0.25">
      <c r="A43" t="s">
        <v>1040</v>
      </c>
      <c r="B43" t="s">
        <v>149</v>
      </c>
      <c r="C43" s="28">
        <v>5.8310000000000004</v>
      </c>
      <c r="D43" s="27">
        <v>5.2320000000000002</v>
      </c>
      <c r="E43" s="28">
        <v>6.3259999999999996</v>
      </c>
      <c r="F43" s="1" t="str">
        <f>HYPERLINK("http://www.ncbi.nlm.nih.gov/pubmed/?term=Marcks","Marcks")</f>
        <v>Marcks</v>
      </c>
    </row>
    <row r="44" spans="1:6" x14ac:dyDescent="0.25">
      <c r="A44" t="s">
        <v>159</v>
      </c>
      <c r="B44" t="s">
        <v>1644</v>
      </c>
      <c r="C44" s="43">
        <v>6.5579999999999998</v>
      </c>
      <c r="D44" s="27">
        <v>4.7640000000000002</v>
      </c>
      <c r="E44" s="27">
        <v>5.4039999999999999</v>
      </c>
      <c r="F44" s="1" t="str">
        <f>HYPERLINK("http://www.ncbi.nlm.nih.gov/pubmed/?term=Map2k1","Map2k1")</f>
        <v>Map2k1</v>
      </c>
    </row>
    <row r="45" spans="1:6" x14ac:dyDescent="0.25">
      <c r="A45" t="s">
        <v>522</v>
      </c>
      <c r="B45" t="s">
        <v>1073</v>
      </c>
      <c r="C45" s="42">
        <v>4.03</v>
      </c>
      <c r="D45" s="26">
        <v>-0.30590000000000001</v>
      </c>
      <c r="E45" s="26">
        <v>0.31240000000000001</v>
      </c>
      <c r="F45" s="1" t="str">
        <f>HYPERLINK("http://www.ncbi.nlm.nih.gov/pubmed/?term=Lat","Lat")</f>
        <v>Lat</v>
      </c>
    </row>
    <row r="46" spans="1:6" x14ac:dyDescent="0.25">
      <c r="A46" t="s">
        <v>6</v>
      </c>
      <c r="B46" t="s">
        <v>1962</v>
      </c>
      <c r="C46" s="42">
        <v>4.3769999999999998</v>
      </c>
      <c r="D46" s="47">
        <v>3.121</v>
      </c>
      <c r="E46" s="42">
        <v>3.786</v>
      </c>
      <c r="F46" s="1" t="str">
        <f>HYPERLINK("http://www.ncbi.nlm.nih.gov/pubmed/?term=Asap2","Asap2")</f>
        <v>Asap2</v>
      </c>
    </row>
    <row r="47" spans="1:6" x14ac:dyDescent="0.25">
      <c r="A47" t="s">
        <v>1734</v>
      </c>
      <c r="B47" t="s">
        <v>388</v>
      </c>
      <c r="C47" s="27">
        <v>4.6269999999999998</v>
      </c>
      <c r="D47" s="47">
        <v>2.9380000000000002</v>
      </c>
      <c r="E47" s="42">
        <v>4.28</v>
      </c>
      <c r="F47" s="1" t="str">
        <f>HYPERLINK("http://www.ncbi.nlm.nih.gov/pubmed/?term=Sphk1","Sphk1")</f>
        <v>Sphk1</v>
      </c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1341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2016</v>
      </c>
      <c r="B5" t="s">
        <v>1464</v>
      </c>
      <c r="C5" s="26">
        <v>-0.25159999999999999</v>
      </c>
      <c r="D5" s="33">
        <v>4.952</v>
      </c>
      <c r="E5" s="13">
        <v>0.69540000000000002</v>
      </c>
      <c r="F5" s="1" t="str">
        <f>HYPERLINK("http://www.ncbi.nlm.nih.gov/pubmed/?term=Pik3cg","Pik3cg")</f>
        <v>Pik3cg</v>
      </c>
    </row>
    <row r="6" spans="1:6" x14ac:dyDescent="0.25">
      <c r="A6" t="s">
        <v>1335</v>
      </c>
      <c r="B6" t="s">
        <v>1328</v>
      </c>
      <c r="C6" s="13">
        <v>0.53520000000000001</v>
      </c>
      <c r="D6" s="45">
        <v>5.8090000000000002</v>
      </c>
      <c r="E6" s="18">
        <v>2.5489999999999999</v>
      </c>
      <c r="F6" s="1" t="str">
        <f>HYPERLINK("http://www.ncbi.nlm.nih.gov/pubmed/?term=Pik3r5","Pik3r5")</f>
        <v>Pik3r5</v>
      </c>
    </row>
    <row r="7" spans="1:6" x14ac:dyDescent="0.25">
      <c r="A7" t="s">
        <v>1012</v>
      </c>
      <c r="B7" t="s">
        <v>608</v>
      </c>
      <c r="C7" s="13">
        <v>0.79710000000000003</v>
      </c>
      <c r="D7" s="22">
        <v>3.81</v>
      </c>
      <c r="E7" s="23">
        <v>2.1230000000000002</v>
      </c>
      <c r="F7" s="1" t="str">
        <f>HYPERLINK("http://www.ncbi.nlm.nih.gov/pubmed/?term=Pak1","Pak1")</f>
        <v>Pak1</v>
      </c>
    </row>
    <row r="8" spans="1:6" x14ac:dyDescent="0.25">
      <c r="A8" t="s">
        <v>276</v>
      </c>
      <c r="B8" t="s">
        <v>1181</v>
      </c>
      <c r="C8" s="18">
        <v>2.7959999999999998</v>
      </c>
      <c r="D8" s="33">
        <v>4.8380000000000001</v>
      </c>
      <c r="E8" s="18">
        <v>3.4089999999999998</v>
      </c>
      <c r="F8" s="1" t="str">
        <f>HYPERLINK("http://www.ncbi.nlm.nih.gov/pubmed/?term=Plcg2","Plcg2")</f>
        <v>Plcg2</v>
      </c>
    </row>
    <row r="9" spans="1:6" x14ac:dyDescent="0.25">
      <c r="A9" t="s">
        <v>1382</v>
      </c>
      <c r="B9" t="s">
        <v>440</v>
      </c>
      <c r="C9" s="26">
        <v>-1.218</v>
      </c>
      <c r="D9" s="22">
        <v>3.7610000000000001</v>
      </c>
      <c r="E9" s="18">
        <v>3.367</v>
      </c>
      <c r="F9" s="1" t="str">
        <f>HYPERLINK("http://www.ncbi.nlm.nih.gov/pubmed/?term=Camk2b","Camk2b")</f>
        <v>Camk2b</v>
      </c>
    </row>
    <row r="10" spans="1:6" x14ac:dyDescent="0.25">
      <c r="A10" t="s">
        <v>389</v>
      </c>
      <c r="B10" t="s">
        <v>712</v>
      </c>
      <c r="C10" s="23">
        <v>2.3450000000000002</v>
      </c>
      <c r="D10" s="45">
        <v>5.5529999999999999</v>
      </c>
      <c r="E10" s="2">
        <v>6.5759999999999996</v>
      </c>
      <c r="F10" s="1" t="str">
        <f>HYPERLINK("http://www.ncbi.nlm.nih.gov/pubmed/?term=Stat5a","Stat5a")</f>
        <v>Stat5a</v>
      </c>
    </row>
    <row r="11" spans="1:6" x14ac:dyDescent="0.25">
      <c r="A11" t="s">
        <v>567</v>
      </c>
      <c r="B11" t="s">
        <v>1580</v>
      </c>
      <c r="C11" s="22">
        <v>3.569</v>
      </c>
      <c r="D11" s="45">
        <v>5.556</v>
      </c>
      <c r="E11" s="45">
        <v>6.1470000000000002</v>
      </c>
      <c r="F11" s="1" t="str">
        <f>HYPERLINK("http://www.ncbi.nlm.nih.gov/pubmed/?term=Cdkn1a","Cdkn1a")</f>
        <v>Cdkn1a</v>
      </c>
    </row>
    <row r="12" spans="1:6" x14ac:dyDescent="0.25">
      <c r="A12" t="s">
        <v>2023</v>
      </c>
      <c r="B12" t="s">
        <v>897</v>
      </c>
      <c r="C12" s="22">
        <v>4.37</v>
      </c>
      <c r="D12" s="33">
        <v>5.0970000000000004</v>
      </c>
      <c r="E12" s="33">
        <v>5.4119999999999999</v>
      </c>
      <c r="F12" s="1" t="str">
        <f>HYPERLINK("http://www.ncbi.nlm.nih.gov/pubmed/?term=Hras1","Hras1")</f>
        <v>Hras1</v>
      </c>
    </row>
    <row r="13" spans="1:6" x14ac:dyDescent="0.25">
      <c r="A13" t="s">
        <v>1958</v>
      </c>
      <c r="B13" t="s">
        <v>1965</v>
      </c>
      <c r="C13" s="33">
        <v>4.9290000000000003</v>
      </c>
      <c r="D13" s="33">
        <v>5.2320000000000002</v>
      </c>
      <c r="E13" s="45">
        <v>6.2359999999999998</v>
      </c>
      <c r="F13" s="1" t="str">
        <f>HYPERLINK("http://www.ncbi.nlm.nih.gov/pubmed/?term=Src","Src")</f>
        <v>Src</v>
      </c>
    </row>
    <row r="14" spans="1:6" x14ac:dyDescent="0.25">
      <c r="A14" t="s">
        <v>333</v>
      </c>
      <c r="B14" t="s">
        <v>1460</v>
      </c>
      <c r="C14" s="26">
        <v>0.44829999999999998</v>
      </c>
      <c r="D14" s="23">
        <v>2.1360000000000001</v>
      </c>
      <c r="E14" s="22">
        <v>3.8809999999999998</v>
      </c>
      <c r="F14" s="1" t="str">
        <f>HYPERLINK("http://www.ncbi.nlm.nih.gov/pubmed/?term=Pik3cb","Pik3cb")</f>
        <v>Pik3cb</v>
      </c>
    </row>
    <row r="15" spans="1:6" x14ac:dyDescent="0.25">
      <c r="A15" t="s">
        <v>91</v>
      </c>
      <c r="B15" t="s">
        <v>1403</v>
      </c>
      <c r="C15" s="23">
        <v>1.8640000000000001</v>
      </c>
      <c r="D15" s="22">
        <v>3.6930000000000001</v>
      </c>
      <c r="E15" s="33">
        <v>4.968</v>
      </c>
      <c r="F15" s="1" t="str">
        <f>HYPERLINK("http://www.ncbi.nlm.nih.gov/pubmed/?term=Erbb2","Erbb2")</f>
        <v>Erbb2</v>
      </c>
    </row>
    <row r="16" spans="1:6" x14ac:dyDescent="0.25">
      <c r="A16" t="s">
        <v>1863</v>
      </c>
      <c r="B16" t="s">
        <v>1342</v>
      </c>
      <c r="C16" s="26">
        <v>0.1411</v>
      </c>
      <c r="D16" s="13">
        <v>1.353</v>
      </c>
      <c r="E16" s="45">
        <v>6.2930000000000001</v>
      </c>
      <c r="F16" s="1" t="str">
        <f>HYPERLINK("http://www.ncbi.nlm.nih.gov/pubmed/?term=Nrg1","Nrg1")</f>
        <v>Nrg1</v>
      </c>
    </row>
    <row r="17" spans="1:6" x14ac:dyDescent="0.25">
      <c r="A17" t="s">
        <v>1334</v>
      </c>
      <c r="B17" t="s">
        <v>5</v>
      </c>
      <c r="C17" s="18">
        <v>3.4769999999999999</v>
      </c>
      <c r="D17" s="22">
        <v>3.6840000000000002</v>
      </c>
      <c r="E17" s="18">
        <v>2.5219999999999998</v>
      </c>
      <c r="F17" s="1" t="str">
        <f>HYPERLINK("http://www.ncbi.nlm.nih.gov/pubmed/?term=Sos1","Sos1")</f>
        <v>Sos1</v>
      </c>
    </row>
    <row r="18" spans="1:6" x14ac:dyDescent="0.25">
      <c r="A18" t="s">
        <v>1884</v>
      </c>
      <c r="B18" t="s">
        <v>2000</v>
      </c>
      <c r="C18" s="43">
        <v>8.7729999999999997</v>
      </c>
      <c r="D18" s="43">
        <v>9.0190000000000001</v>
      </c>
      <c r="E18" s="2">
        <v>7.4089999999999998</v>
      </c>
      <c r="F18" s="1" t="str">
        <f>HYPERLINK("http://www.ncbi.nlm.nih.gov/pubmed/?term=Jun","Jun")</f>
        <v>Jun</v>
      </c>
    </row>
    <row r="19" spans="1:6" x14ac:dyDescent="0.25">
      <c r="A19" t="s">
        <v>651</v>
      </c>
      <c r="B19" t="s">
        <v>438</v>
      </c>
      <c r="C19" s="18">
        <v>3.008</v>
      </c>
      <c r="D19" s="22">
        <v>4.3090000000000002</v>
      </c>
      <c r="E19" s="23">
        <v>2.335</v>
      </c>
      <c r="F19" s="1" t="str">
        <f>HYPERLINK("http://www.ncbi.nlm.nih.gov/pubmed/?term=Camk2d","Camk2d")</f>
        <v>Camk2d</v>
      </c>
    </row>
    <row r="20" spans="1:6" x14ac:dyDescent="0.25">
      <c r="A20" t="s">
        <v>1840</v>
      </c>
      <c r="B20" t="s">
        <v>1579</v>
      </c>
      <c r="C20" s="33">
        <v>5.0369999999999999</v>
      </c>
      <c r="D20" s="22">
        <v>4.2450000000000001</v>
      </c>
      <c r="E20" s="22">
        <v>3.851</v>
      </c>
      <c r="F20" s="1" t="str">
        <f>HYPERLINK("http://www.ncbi.nlm.nih.gov/pubmed/?term=Cdkn1b","Cdkn1b")</f>
        <v>Cdkn1b</v>
      </c>
    </row>
    <row r="21" spans="1:6" x14ac:dyDescent="0.25">
      <c r="A21" t="s">
        <v>1733</v>
      </c>
      <c r="B21" t="s">
        <v>1829</v>
      </c>
      <c r="C21" s="22">
        <v>3.9809999999999999</v>
      </c>
      <c r="D21" s="18">
        <v>3.1789999999999998</v>
      </c>
      <c r="E21" s="18">
        <v>2.843</v>
      </c>
      <c r="F21" s="1" t="str">
        <f>HYPERLINK("http://www.ncbi.nlm.nih.gov/pubmed/?term=Crkl","Crkl")</f>
        <v>Crkl</v>
      </c>
    </row>
    <row r="22" spans="1:6" x14ac:dyDescent="0.25">
      <c r="A22" t="s">
        <v>78</v>
      </c>
      <c r="B22" t="s">
        <v>1182</v>
      </c>
      <c r="C22" s="33">
        <v>4.6639999999999997</v>
      </c>
      <c r="D22" s="33">
        <v>4.6269999999999998</v>
      </c>
      <c r="E22" s="18">
        <v>2.9020000000000001</v>
      </c>
      <c r="F22" s="1" t="str">
        <f>HYPERLINK("http://www.ncbi.nlm.nih.gov/pubmed/?term=Plcg1","Plcg1")</f>
        <v>Plcg1</v>
      </c>
    </row>
    <row r="23" spans="1:6" x14ac:dyDescent="0.25">
      <c r="A23" t="s">
        <v>641</v>
      </c>
      <c r="B23" t="s">
        <v>346</v>
      </c>
      <c r="C23" s="45">
        <v>5.5090000000000003</v>
      </c>
      <c r="D23" s="33">
        <v>4.79</v>
      </c>
      <c r="E23" s="22">
        <v>4.3810000000000002</v>
      </c>
      <c r="F23" s="1" t="str">
        <f>HYPERLINK("http://www.ncbi.nlm.nih.gov/pubmed/?term=Crk","Crk")</f>
        <v>Crk</v>
      </c>
    </row>
    <row r="24" spans="1:6" x14ac:dyDescent="0.25">
      <c r="A24" t="s">
        <v>1444</v>
      </c>
      <c r="B24" t="s">
        <v>1417</v>
      </c>
      <c r="C24" s="33">
        <v>4.7190000000000003</v>
      </c>
      <c r="D24" s="22">
        <v>4.1989999999999998</v>
      </c>
      <c r="E24" s="18">
        <v>2.794</v>
      </c>
      <c r="F24" s="1" t="str">
        <f>HYPERLINK("http://www.ncbi.nlm.nih.gov/pubmed/?term=Egfr","Egfr")</f>
        <v>Egfr</v>
      </c>
    </row>
    <row r="25" spans="1:6" x14ac:dyDescent="0.25">
      <c r="A25" t="s">
        <v>31</v>
      </c>
      <c r="B25" t="s">
        <v>400</v>
      </c>
      <c r="C25" s="22">
        <v>4.476</v>
      </c>
      <c r="D25" s="22">
        <v>3.5920000000000001</v>
      </c>
      <c r="E25" s="18">
        <v>3.4319999999999999</v>
      </c>
      <c r="F25" s="1" t="str">
        <f>HYPERLINK("http://www.ncbi.nlm.nih.gov/pubmed/?term=Mapk9","Mapk9")</f>
        <v>Mapk9</v>
      </c>
    </row>
    <row r="26" spans="1:6" x14ac:dyDescent="0.25">
      <c r="A26" t="s">
        <v>2079</v>
      </c>
      <c r="B26" t="s">
        <v>439</v>
      </c>
      <c r="C26" s="22">
        <v>4.1420000000000003</v>
      </c>
      <c r="D26" s="18">
        <v>3.1230000000000002</v>
      </c>
      <c r="E26" s="18">
        <v>2.609</v>
      </c>
      <c r="F26" s="1" t="str">
        <f>HYPERLINK("http://www.ncbi.nlm.nih.gov/pubmed/?term=Camk2g","Camk2g")</f>
        <v>Camk2g</v>
      </c>
    </row>
    <row r="27" spans="1:6" x14ac:dyDescent="0.25">
      <c r="A27" t="s">
        <v>834</v>
      </c>
      <c r="B27" t="s">
        <v>1552</v>
      </c>
      <c r="C27" s="33">
        <v>4.516</v>
      </c>
      <c r="D27" s="22">
        <v>3.7549999999999999</v>
      </c>
      <c r="E27" s="18">
        <v>3.4649999999999999</v>
      </c>
      <c r="F27" s="1" t="str">
        <f>HYPERLINK("http://www.ncbi.nlm.nih.gov/pubmed/?term=Mapk8","Mapk8")</f>
        <v>Mapk8</v>
      </c>
    </row>
    <row r="28" spans="1:6" x14ac:dyDescent="0.25">
      <c r="A28" t="s">
        <v>767</v>
      </c>
      <c r="B28" t="s">
        <v>423</v>
      </c>
      <c r="C28" s="33">
        <v>4.8289999999999997</v>
      </c>
      <c r="D28" s="22">
        <v>4.407</v>
      </c>
      <c r="E28" s="18">
        <v>3.44</v>
      </c>
      <c r="F28" s="1" t="str">
        <f>HYPERLINK("http://www.ncbi.nlm.nih.gov/pubmed/?term=Abl1","Abl1")</f>
        <v>Abl1</v>
      </c>
    </row>
    <row r="29" spans="1:6" x14ac:dyDescent="0.25">
      <c r="A29" t="s">
        <v>723</v>
      </c>
      <c r="B29" t="s">
        <v>2064</v>
      </c>
      <c r="C29" s="33">
        <v>4.9119999999999999</v>
      </c>
      <c r="D29" s="22">
        <v>4.0970000000000004</v>
      </c>
      <c r="E29" s="23">
        <v>2.222</v>
      </c>
      <c r="F29" s="1" t="str">
        <f>HYPERLINK("http://www.ncbi.nlm.nih.gov/pubmed/?term=Gab1","Gab1")</f>
        <v>Gab1</v>
      </c>
    </row>
    <row r="30" spans="1:6" x14ac:dyDescent="0.25">
      <c r="A30" t="s">
        <v>1205</v>
      </c>
      <c r="B30" t="s">
        <v>1329</v>
      </c>
      <c r="C30" s="45">
        <v>5.6820000000000004</v>
      </c>
      <c r="D30" s="33">
        <v>5.0220000000000002</v>
      </c>
      <c r="E30" s="33">
        <v>4.7060000000000004</v>
      </c>
      <c r="F30" s="1" t="str">
        <f>HYPERLINK("http://www.ncbi.nlm.nih.gov/pubmed/?term=Pik3r2","Pik3r2")</f>
        <v>Pik3r2</v>
      </c>
    </row>
    <row r="31" spans="1:6" x14ac:dyDescent="0.25">
      <c r="A31" t="s">
        <v>1620</v>
      </c>
      <c r="B31" t="s">
        <v>1646</v>
      </c>
      <c r="C31" s="22">
        <v>4.484</v>
      </c>
      <c r="D31" s="22">
        <v>3.6629999999999998</v>
      </c>
      <c r="E31" s="18">
        <v>2.92</v>
      </c>
      <c r="F31" s="1" t="str">
        <f>HYPERLINK("http://www.ncbi.nlm.nih.gov/pubmed/?term=Map2k4","Map2k4")</f>
        <v>Map2k4</v>
      </c>
    </row>
    <row r="32" spans="1:6" x14ac:dyDescent="0.25">
      <c r="A32" t="s">
        <v>731</v>
      </c>
      <c r="B32" t="s">
        <v>1330</v>
      </c>
      <c r="C32" s="33">
        <v>4.9180000000000001</v>
      </c>
      <c r="D32" s="33">
        <v>4.8079999999999998</v>
      </c>
      <c r="E32" s="22">
        <v>3.7410000000000001</v>
      </c>
      <c r="F32" s="1" t="str">
        <f>HYPERLINK("http://www.ncbi.nlm.nih.gov/pubmed/?term=Pik3r1","Pik3r1")</f>
        <v>Pik3r1</v>
      </c>
    </row>
    <row r="33" spans="1:6" x14ac:dyDescent="0.25">
      <c r="A33" t="s">
        <v>1177</v>
      </c>
      <c r="B33" t="s">
        <v>711</v>
      </c>
      <c r="C33" s="18">
        <v>3.2429999999999999</v>
      </c>
      <c r="D33" s="18">
        <v>2.9780000000000002</v>
      </c>
      <c r="E33" s="33">
        <v>4.7270000000000003</v>
      </c>
      <c r="F33" s="1" t="str">
        <f>HYPERLINK("http://www.ncbi.nlm.nih.gov/pubmed/?term=Stat5b","Stat5b")</f>
        <v>Stat5b</v>
      </c>
    </row>
    <row r="34" spans="1:6" x14ac:dyDescent="0.25">
      <c r="A34" t="s">
        <v>1880</v>
      </c>
      <c r="B34" t="s">
        <v>1077</v>
      </c>
      <c r="C34" s="22">
        <v>3.6549999999999998</v>
      </c>
      <c r="D34" s="18">
        <v>3.3140000000000001</v>
      </c>
      <c r="E34" s="45">
        <v>6.2270000000000003</v>
      </c>
      <c r="F34" s="1" t="str">
        <f>HYPERLINK("http://www.ncbi.nlm.nih.gov/pubmed/?term=Prkca","Prkca")</f>
        <v>Prkca</v>
      </c>
    </row>
    <row r="35" spans="1:6" x14ac:dyDescent="0.25">
      <c r="A35" t="s">
        <v>159</v>
      </c>
      <c r="B35" t="s">
        <v>1644</v>
      </c>
      <c r="C35" s="2">
        <v>6.5579999999999998</v>
      </c>
      <c r="D35" s="33">
        <v>4.7640000000000002</v>
      </c>
      <c r="E35" s="33">
        <v>5.4039999999999999</v>
      </c>
      <c r="F35" s="1" t="str">
        <f>HYPERLINK("http://www.ncbi.nlm.nih.gov/pubmed/?term=Map2k1","Map2k1")</f>
        <v>Map2k1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1218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1748</v>
      </c>
      <c r="B5" t="s">
        <v>45</v>
      </c>
      <c r="C5" s="26">
        <v>-4.4480000000000004</v>
      </c>
      <c r="D5" s="42">
        <v>3.7269999999999999</v>
      </c>
      <c r="E5" s="26">
        <v>-0.52180000000000004</v>
      </c>
      <c r="F5" s="1" t="str">
        <f>HYPERLINK("http://www.ncbi.nlm.nih.gov/pubmed/?term=Adcy2","Adcy2")</f>
        <v>Adcy2</v>
      </c>
    </row>
    <row r="6" spans="1:6" x14ac:dyDescent="0.25">
      <c r="A6" t="s">
        <v>1212</v>
      </c>
      <c r="B6" t="s">
        <v>1935</v>
      </c>
      <c r="C6" s="26">
        <v>-0.58730000000000004</v>
      </c>
      <c r="D6" s="28">
        <v>6.1760000000000002</v>
      </c>
      <c r="E6" s="47">
        <v>2.665</v>
      </c>
      <c r="F6" s="1" t="str">
        <f>HYPERLINK("http://www.ncbi.nlm.nih.gov/pubmed/?term=Plcb2","Plcb2")</f>
        <v>Plcb2</v>
      </c>
    </row>
    <row r="7" spans="1:6" x14ac:dyDescent="0.25">
      <c r="A7" t="s">
        <v>1282</v>
      </c>
      <c r="B7" t="s">
        <v>1635</v>
      </c>
      <c r="C7" s="26">
        <v>-1.7629999999999999</v>
      </c>
      <c r="D7" s="47">
        <v>3.2189999999999999</v>
      </c>
      <c r="E7" s="27">
        <v>5.327</v>
      </c>
      <c r="F7" s="1" t="str">
        <f>HYPERLINK("http://www.ncbi.nlm.nih.gov/pubmed/?term=Wnt10b","Wnt10b")</f>
        <v>Wnt10b</v>
      </c>
    </row>
    <row r="8" spans="1:6" x14ac:dyDescent="0.25">
      <c r="A8" t="s">
        <v>551</v>
      </c>
      <c r="B8" t="s">
        <v>1634</v>
      </c>
      <c r="C8" s="26">
        <v>-2.3820000000000001</v>
      </c>
      <c r="D8" s="47">
        <v>3.0019999999999998</v>
      </c>
      <c r="E8" s="42">
        <v>4.1829999999999998</v>
      </c>
      <c r="F8" s="1" t="str">
        <f>HYPERLINK("http://www.ncbi.nlm.nih.gov/pubmed/?term=Wnt10a","Wnt10a")</f>
        <v>Wnt10a</v>
      </c>
    </row>
    <row r="9" spans="1:6" x14ac:dyDescent="0.25">
      <c r="A9" t="s">
        <v>167</v>
      </c>
      <c r="B9" t="s">
        <v>971</v>
      </c>
      <c r="C9" s="36">
        <v>1.5860000000000001</v>
      </c>
      <c r="D9" s="36">
        <v>2.2469999999999999</v>
      </c>
      <c r="E9" s="42">
        <v>4.2910000000000004</v>
      </c>
      <c r="F9" s="1" t="str">
        <f>HYPERLINK("http://www.ncbi.nlm.nih.gov/pubmed/?term=Fzd1","Fzd1")</f>
        <v>Fzd1</v>
      </c>
    </row>
    <row r="10" spans="1:6" x14ac:dyDescent="0.25">
      <c r="A10" t="s">
        <v>686</v>
      </c>
      <c r="B10" t="s">
        <v>593</v>
      </c>
      <c r="C10" s="43">
        <v>7.6289999999999996</v>
      </c>
      <c r="D10" s="43">
        <v>8.4730000000000008</v>
      </c>
      <c r="E10" s="43">
        <v>7.0110000000000001</v>
      </c>
      <c r="F10" s="1" t="str">
        <f>HYPERLINK("http://www.ncbi.nlm.nih.gov/pubmed/?term=Calm2","Calm2")</f>
        <v>Calm2</v>
      </c>
    </row>
    <row r="11" spans="1:6" x14ac:dyDescent="0.25">
      <c r="A11" t="s">
        <v>1926</v>
      </c>
      <c r="B11" t="s">
        <v>975</v>
      </c>
      <c r="C11" s="27">
        <v>4.5039999999999996</v>
      </c>
      <c r="D11" s="27">
        <v>4.9189999999999996</v>
      </c>
      <c r="E11" s="42">
        <v>3.6890000000000001</v>
      </c>
      <c r="F11" s="1" t="str">
        <f>HYPERLINK("http://www.ncbi.nlm.nih.gov/pubmed/?term=Fzd7","Fzd7")</f>
        <v>Fzd7</v>
      </c>
    </row>
    <row r="12" spans="1:6" x14ac:dyDescent="0.25">
      <c r="A12" t="s">
        <v>342</v>
      </c>
      <c r="B12" t="s">
        <v>972</v>
      </c>
      <c r="C12" s="42">
        <v>3.665</v>
      </c>
      <c r="D12" s="42">
        <v>3.722</v>
      </c>
      <c r="E12" s="14">
        <v>0.93340000000000001</v>
      </c>
      <c r="F12" s="1" t="str">
        <f>HYPERLINK("http://www.ncbi.nlm.nih.gov/pubmed/?term=Fzd2","Fzd2")</f>
        <v>Fzd2</v>
      </c>
    </row>
    <row r="13" spans="1:6" x14ac:dyDescent="0.25">
      <c r="A13" t="s">
        <v>651</v>
      </c>
      <c r="B13" t="s">
        <v>438</v>
      </c>
      <c r="C13" s="47">
        <v>3.008</v>
      </c>
      <c r="D13" s="42">
        <v>4.3090000000000002</v>
      </c>
      <c r="E13" s="36">
        <v>2.335</v>
      </c>
      <c r="F13" s="1" t="str">
        <f>HYPERLINK("http://www.ncbi.nlm.nih.gov/pubmed/?term=Camk2d","Camk2d")</f>
        <v>Camk2d</v>
      </c>
    </row>
    <row r="14" spans="1:6" x14ac:dyDescent="0.25">
      <c r="A14" t="s">
        <v>1143</v>
      </c>
      <c r="B14" t="s">
        <v>595</v>
      </c>
      <c r="C14" s="43">
        <v>6.7370000000000001</v>
      </c>
      <c r="D14" s="28">
        <v>6.1340000000000003</v>
      </c>
      <c r="E14" s="28">
        <v>5.6020000000000003</v>
      </c>
      <c r="F14" s="1" t="str">
        <f>HYPERLINK("http://www.ncbi.nlm.nih.gov/pubmed/?term=Calm1","Calm1")</f>
        <v>Calm1</v>
      </c>
    </row>
    <row r="15" spans="1:6" x14ac:dyDescent="0.25">
      <c r="A15" t="s">
        <v>1506</v>
      </c>
      <c r="B15" t="s">
        <v>1331</v>
      </c>
      <c r="C15" s="27">
        <v>4.74</v>
      </c>
      <c r="D15" s="42">
        <v>3.9580000000000002</v>
      </c>
      <c r="E15" s="47">
        <v>2.786</v>
      </c>
      <c r="F15" s="1" t="str">
        <f>HYPERLINK("http://www.ncbi.nlm.nih.gov/pubmed/?term=Prkacb","Prkacb")</f>
        <v>Prkacb</v>
      </c>
    </row>
    <row r="16" spans="1:6" x14ac:dyDescent="0.25">
      <c r="A16" t="s">
        <v>49</v>
      </c>
      <c r="B16" t="s">
        <v>1564</v>
      </c>
      <c r="C16" s="27">
        <v>4.6529999999999996</v>
      </c>
      <c r="D16" s="42">
        <v>3.782</v>
      </c>
      <c r="E16" s="36">
        <v>2.4590000000000001</v>
      </c>
      <c r="F16" s="1" t="str">
        <f>HYPERLINK("http://www.ncbi.nlm.nih.gov/pubmed/?term=Gnaq","Gnaq")</f>
        <v>Gnaq</v>
      </c>
    </row>
    <row r="17" spans="1:6" x14ac:dyDescent="0.25">
      <c r="A17" t="s">
        <v>1721</v>
      </c>
      <c r="B17" t="s">
        <v>460</v>
      </c>
      <c r="C17" s="43">
        <v>6.5250000000000004</v>
      </c>
      <c r="D17" s="27">
        <v>4.6449999999999996</v>
      </c>
      <c r="E17" s="47">
        <v>3.2810000000000001</v>
      </c>
      <c r="F17" s="1" t="str">
        <f>HYPERLINK("http://www.ncbi.nlm.nih.gov/pubmed/?term=Wnt4","Wnt4")</f>
        <v>Wnt4</v>
      </c>
    </row>
    <row r="18" spans="1:6" x14ac:dyDescent="0.25">
      <c r="A18" t="s">
        <v>55</v>
      </c>
      <c r="B18" t="s">
        <v>1869</v>
      </c>
      <c r="C18" s="28">
        <v>5.766</v>
      </c>
      <c r="D18" s="36">
        <v>2.11</v>
      </c>
      <c r="E18" s="28">
        <v>5.819</v>
      </c>
      <c r="F18" s="1" t="str">
        <f>HYPERLINK("http://www.ncbi.nlm.nih.gov/pubmed/?term=Tcf7","Tcf7")</f>
        <v>Tcf7</v>
      </c>
    </row>
    <row r="19" spans="1:6" x14ac:dyDescent="0.25">
      <c r="A19" t="s">
        <v>482</v>
      </c>
      <c r="B19" t="s">
        <v>44</v>
      </c>
      <c r="C19" s="26">
        <v>7.9680000000000001E-2</v>
      </c>
      <c r="D19" s="26">
        <v>-0.70120000000000005</v>
      </c>
      <c r="E19" s="42">
        <v>3.97</v>
      </c>
      <c r="F19" s="1" t="str">
        <f>HYPERLINK("http://www.ncbi.nlm.nih.gov/pubmed/?term=Adcy1","Adcy1")</f>
        <v>Adcy1</v>
      </c>
    </row>
    <row r="20" spans="1:6" x14ac:dyDescent="0.25">
      <c r="A20" t="s">
        <v>973</v>
      </c>
      <c r="B20" t="s">
        <v>1936</v>
      </c>
      <c r="C20" s="27">
        <v>4.9489999999999998</v>
      </c>
      <c r="D20" s="42">
        <v>4.2130000000000001</v>
      </c>
      <c r="E20" s="28">
        <v>5.6050000000000004</v>
      </c>
      <c r="F20" s="1" t="str">
        <f>HYPERLINK("http://www.ncbi.nlm.nih.gov/pubmed/?term=Plcb4","Plcb4")</f>
        <v>Plcb4</v>
      </c>
    </row>
    <row r="21" spans="1:6" x14ac:dyDescent="0.25">
      <c r="A21" t="s">
        <v>1880</v>
      </c>
      <c r="B21" t="s">
        <v>1077</v>
      </c>
      <c r="C21" s="42">
        <v>3.6549999999999998</v>
      </c>
      <c r="D21" s="47">
        <v>3.3140000000000001</v>
      </c>
      <c r="E21" s="28">
        <v>6.2270000000000003</v>
      </c>
      <c r="F21" s="1" t="str">
        <f>HYPERLINK("http://www.ncbi.nlm.nih.gov/pubmed/?term=Prkca","Prkca")</f>
        <v>Prkca</v>
      </c>
    </row>
    <row r="22" spans="1:6" x14ac:dyDescent="0.25">
      <c r="A22" t="s">
        <v>1907</v>
      </c>
      <c r="B22" t="s">
        <v>594</v>
      </c>
      <c r="C22" s="43">
        <v>6.91</v>
      </c>
      <c r="D22" s="28">
        <v>6.0519999999999996</v>
      </c>
      <c r="E22" s="28">
        <v>6.492</v>
      </c>
      <c r="F22" s="1" t="str">
        <f>HYPERLINK("http://www.ncbi.nlm.nih.gov/pubmed/?term=Calm3","Calm3")</f>
        <v>Calm3</v>
      </c>
    </row>
    <row r="23" spans="1:6" x14ac:dyDescent="0.25">
      <c r="A23" t="s">
        <v>851</v>
      </c>
      <c r="B23" t="s">
        <v>2092</v>
      </c>
      <c r="C23" s="27">
        <v>5.4390000000000001</v>
      </c>
      <c r="D23" s="14">
        <v>0.98350000000000004</v>
      </c>
      <c r="E23" s="47">
        <v>3.3889999999999998</v>
      </c>
      <c r="F23" s="1" t="str">
        <f>HYPERLINK("http://www.ncbi.nlm.nih.gov/pubmed/?term=Kitl","Kitl")</f>
        <v>Kitl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1175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23">
        <v>2.2389999999999999</v>
      </c>
      <c r="D5" s="2">
        <v>7.0960000000000001</v>
      </c>
      <c r="E5" s="33">
        <v>5.49</v>
      </c>
      <c r="F5" s="1" t="str">
        <f>HYPERLINK("http://www.ncbi.nlm.nih.gov/pubmed/?term=Mapk13","Mapk13")</f>
        <v>Mapk13</v>
      </c>
    </row>
    <row r="6" spans="1:6" x14ac:dyDescent="0.25">
      <c r="A6" t="s">
        <v>1470</v>
      </c>
      <c r="B6" t="s">
        <v>1306</v>
      </c>
      <c r="C6" s="26">
        <v>0.16650000000000001</v>
      </c>
      <c r="D6" s="43">
        <v>7.899</v>
      </c>
      <c r="E6" s="33">
        <v>5.085</v>
      </c>
      <c r="F6" s="1" t="str">
        <f>HYPERLINK("http://www.ncbi.nlm.nih.gov/pubmed/?term=Hspb1","Hspb1")</f>
        <v>Hspb1</v>
      </c>
    </row>
    <row r="7" spans="1:6" x14ac:dyDescent="0.25">
      <c r="A7" t="s">
        <v>37</v>
      </c>
      <c r="B7" t="s">
        <v>1875</v>
      </c>
      <c r="C7" s="33">
        <v>5.1520000000000001</v>
      </c>
      <c r="D7" s="2">
        <v>6.9429999999999996</v>
      </c>
      <c r="E7" s="45">
        <v>5.7969999999999997</v>
      </c>
      <c r="F7" s="1" t="str">
        <f>HYPERLINK("http://www.ncbi.nlm.nih.gov/pubmed/?term=Dusp1","Dusp1")</f>
        <v>Dusp1</v>
      </c>
    </row>
    <row r="8" spans="1:6" x14ac:dyDescent="0.25">
      <c r="A8" t="s">
        <v>1012</v>
      </c>
      <c r="B8" t="s">
        <v>608</v>
      </c>
      <c r="C8" s="13">
        <v>0.79710000000000003</v>
      </c>
      <c r="D8" s="22">
        <v>3.81</v>
      </c>
      <c r="E8" s="23">
        <v>2.1230000000000002</v>
      </c>
      <c r="F8" s="1" t="str">
        <f>HYPERLINK("http://www.ncbi.nlm.nih.gov/pubmed/?term=Pak1","Pak1")</f>
        <v>Pak1</v>
      </c>
    </row>
    <row r="9" spans="1:6" x14ac:dyDescent="0.25">
      <c r="A9" t="s">
        <v>850</v>
      </c>
      <c r="B9" t="s">
        <v>1615</v>
      </c>
      <c r="C9" s="33">
        <v>5.375</v>
      </c>
      <c r="D9" s="43">
        <v>7.7729999999999997</v>
      </c>
      <c r="E9" s="45">
        <v>6.2270000000000003</v>
      </c>
      <c r="F9" s="1" t="str">
        <f>HYPERLINK("http://www.ncbi.nlm.nih.gov/pubmed/?term=Hspa1b","Hspa1b")</f>
        <v>Hspa1b</v>
      </c>
    </row>
    <row r="10" spans="1:6" x14ac:dyDescent="0.25">
      <c r="A10" t="s">
        <v>1975</v>
      </c>
      <c r="B10" t="s">
        <v>1616</v>
      </c>
      <c r="C10" s="22">
        <v>4.4249999999999998</v>
      </c>
      <c r="D10" s="2">
        <v>6.9690000000000003</v>
      </c>
      <c r="E10" s="33">
        <v>5.39</v>
      </c>
      <c r="F10" s="1" t="str">
        <f>HYPERLINK("http://www.ncbi.nlm.nih.gov/pubmed/?term=Hspa1a","Hspa1a")</f>
        <v>Hspa1a</v>
      </c>
    </row>
    <row r="11" spans="1:6" x14ac:dyDescent="0.25">
      <c r="A11" t="s">
        <v>1790</v>
      </c>
      <c r="B11" t="s">
        <v>580</v>
      </c>
      <c r="C11" s="45">
        <v>5.5129999999999999</v>
      </c>
      <c r="D11" s="45">
        <v>5.7859999999999996</v>
      </c>
      <c r="E11" s="2">
        <v>7.468</v>
      </c>
      <c r="F11" s="1" t="str">
        <f>HYPERLINK("http://www.ncbi.nlm.nih.gov/pubmed/?term=Relb","Relb")</f>
        <v>Relb</v>
      </c>
    </row>
    <row r="12" spans="1:6" x14ac:dyDescent="0.25">
      <c r="A12" t="s">
        <v>1350</v>
      </c>
      <c r="B12" t="s">
        <v>514</v>
      </c>
      <c r="C12" s="18">
        <v>3.0710000000000002</v>
      </c>
      <c r="D12" s="33">
        <v>4.5819999999999999</v>
      </c>
      <c r="E12" s="33">
        <v>5.1890000000000001</v>
      </c>
      <c r="F12" s="1" t="str">
        <f>HYPERLINK("http://www.ncbi.nlm.nih.gov/pubmed/?term=Cacnb3","Cacnb3")</f>
        <v>Cacnb3</v>
      </c>
    </row>
    <row r="13" spans="1:6" x14ac:dyDescent="0.25">
      <c r="A13" t="s">
        <v>695</v>
      </c>
      <c r="B13" t="s">
        <v>362</v>
      </c>
      <c r="C13" s="26">
        <v>-1.089</v>
      </c>
      <c r="D13" s="22">
        <v>3.5209999999999999</v>
      </c>
      <c r="E13" s="2">
        <v>6.6840000000000002</v>
      </c>
      <c r="F13" s="1" t="str">
        <f>HYPERLINK("http://www.ncbi.nlm.nih.gov/pubmed/?term=Cacna1b","Cacna1b")</f>
        <v>Cacna1b</v>
      </c>
    </row>
    <row r="14" spans="1:6" x14ac:dyDescent="0.25">
      <c r="A14" t="s">
        <v>908</v>
      </c>
      <c r="B14" t="s">
        <v>2136</v>
      </c>
      <c r="C14" s="22">
        <v>3.778</v>
      </c>
      <c r="D14" s="33">
        <v>5.0129999999999999</v>
      </c>
      <c r="E14" s="2">
        <v>7.056</v>
      </c>
      <c r="F14" s="1" t="str">
        <f>HYPERLINK("http://www.ncbi.nlm.nih.gov/pubmed/?term=Gadd45b","Gadd45b")</f>
        <v>Gadd45b</v>
      </c>
    </row>
    <row r="15" spans="1:6" x14ac:dyDescent="0.25">
      <c r="A15" t="s">
        <v>332</v>
      </c>
      <c r="B15" t="s">
        <v>109</v>
      </c>
      <c r="C15" s="18">
        <v>2.6070000000000002</v>
      </c>
      <c r="D15" s="22">
        <v>3.5539999999999998</v>
      </c>
      <c r="E15" s="22">
        <v>3.84</v>
      </c>
      <c r="F15" s="1" t="str">
        <f>HYPERLINK("http://www.ncbi.nlm.nih.gov/pubmed/?term=Nlk","Nlk")</f>
        <v>Nlk</v>
      </c>
    </row>
    <row r="16" spans="1:6" x14ac:dyDescent="0.25">
      <c r="A16" t="s">
        <v>33</v>
      </c>
      <c r="B16" t="s">
        <v>1008</v>
      </c>
      <c r="C16" s="22">
        <v>3.6720000000000002</v>
      </c>
      <c r="D16" s="22">
        <v>4.0519999999999996</v>
      </c>
      <c r="E16" s="33">
        <v>4.9240000000000004</v>
      </c>
      <c r="F16" s="1" t="str">
        <f>HYPERLINK("http://www.ncbi.nlm.nih.gov/pubmed/?term=Stk4","Stk4")</f>
        <v>Stk4</v>
      </c>
    </row>
    <row r="17" spans="1:6" x14ac:dyDescent="0.25">
      <c r="A17" t="s">
        <v>2</v>
      </c>
      <c r="B17" t="s">
        <v>1731</v>
      </c>
      <c r="C17" s="33">
        <v>4.9000000000000004</v>
      </c>
      <c r="D17" s="33">
        <v>5.2220000000000004</v>
      </c>
      <c r="E17" s="45">
        <v>6.2359999999999998</v>
      </c>
      <c r="F17" s="1" t="str">
        <f>HYPERLINK("http://www.ncbi.nlm.nih.gov/pubmed/?term=Mknk2","Mknk2")</f>
        <v>Mknk2</v>
      </c>
    </row>
    <row r="18" spans="1:6" x14ac:dyDescent="0.25">
      <c r="A18" t="s">
        <v>468</v>
      </c>
      <c r="B18" t="s">
        <v>596</v>
      </c>
      <c r="C18" s="23">
        <v>2.3919999999999999</v>
      </c>
      <c r="D18" s="18">
        <v>2.726</v>
      </c>
      <c r="E18" s="33">
        <v>4.7569999999999997</v>
      </c>
      <c r="F18" s="1" t="str">
        <f>HYPERLINK("http://www.ncbi.nlm.nih.gov/pubmed/?term=Map3k1","Map3k1")</f>
        <v>Map3k1</v>
      </c>
    </row>
    <row r="19" spans="1:6" x14ac:dyDescent="0.25">
      <c r="A19" t="s">
        <v>656</v>
      </c>
      <c r="B19" t="s">
        <v>1049</v>
      </c>
      <c r="C19" s="26">
        <v>-1.929</v>
      </c>
      <c r="D19" s="13">
        <v>0.65049999999999997</v>
      </c>
      <c r="E19" s="22">
        <v>4.242</v>
      </c>
      <c r="F19" s="1" t="str">
        <f>HYPERLINK("http://www.ncbi.nlm.nih.gov/pubmed/?term=Tnf","Tnf")</f>
        <v>Tnf</v>
      </c>
    </row>
    <row r="20" spans="1:6" x14ac:dyDescent="0.25">
      <c r="A20" t="s">
        <v>986</v>
      </c>
      <c r="B20" t="s">
        <v>2073</v>
      </c>
      <c r="C20" s="23">
        <v>2.4039999999999999</v>
      </c>
      <c r="D20" s="22">
        <v>4.0590000000000002</v>
      </c>
      <c r="E20" s="45">
        <v>6.069</v>
      </c>
      <c r="F20" s="1" t="str">
        <f>HYPERLINK("http://www.ncbi.nlm.nih.gov/pubmed/?term=Fas","Fas")</f>
        <v>Fas</v>
      </c>
    </row>
    <row r="21" spans="1:6" x14ac:dyDescent="0.25">
      <c r="A21" t="s">
        <v>1851</v>
      </c>
      <c r="B21" t="s">
        <v>1249</v>
      </c>
      <c r="C21" s="45">
        <v>6.2190000000000003</v>
      </c>
      <c r="D21" s="45">
        <v>6.3710000000000004</v>
      </c>
      <c r="E21" s="43">
        <v>7.9530000000000003</v>
      </c>
      <c r="F21" s="1" t="str">
        <f>HYPERLINK("http://www.ncbi.nlm.nih.gov/pubmed/?term=Nfkb2","Nfkb2")</f>
        <v>Nfkb2</v>
      </c>
    </row>
    <row r="22" spans="1:6" x14ac:dyDescent="0.25">
      <c r="A22" t="s">
        <v>2023</v>
      </c>
      <c r="B22" t="s">
        <v>897</v>
      </c>
      <c r="C22" s="22">
        <v>4.37</v>
      </c>
      <c r="D22" s="33">
        <v>5.0970000000000004</v>
      </c>
      <c r="E22" s="33">
        <v>5.4119999999999999</v>
      </c>
      <c r="F22" s="1" t="str">
        <f>HYPERLINK("http://www.ncbi.nlm.nih.gov/pubmed/?term=Hras1","Hras1")</f>
        <v>Hras1</v>
      </c>
    </row>
    <row r="23" spans="1:6" x14ac:dyDescent="0.25">
      <c r="A23" t="s">
        <v>1520</v>
      </c>
      <c r="B23" t="s">
        <v>1718</v>
      </c>
      <c r="C23" s="23">
        <v>1.5840000000000001</v>
      </c>
      <c r="D23" s="22">
        <v>4.38</v>
      </c>
      <c r="E23" s="33">
        <v>5.3470000000000004</v>
      </c>
      <c r="F23" s="1" t="str">
        <f>HYPERLINK("http://www.ncbi.nlm.nih.gov/pubmed/?term=Il1r2","Il1r2")</f>
        <v>Il1r2</v>
      </c>
    </row>
    <row r="24" spans="1:6" x14ac:dyDescent="0.25">
      <c r="A24" t="s">
        <v>577</v>
      </c>
      <c r="B24" t="s">
        <v>1318</v>
      </c>
      <c r="C24" s="22">
        <v>4.1280000000000001</v>
      </c>
      <c r="D24" s="22">
        <v>4.3479999999999999</v>
      </c>
      <c r="E24" s="33">
        <v>5.4850000000000003</v>
      </c>
      <c r="F24" s="1" t="str">
        <f>HYPERLINK("http://www.ncbi.nlm.nih.gov/pubmed/?term=Traf2","Traf2")</f>
        <v>Traf2</v>
      </c>
    </row>
    <row r="25" spans="1:6" x14ac:dyDescent="0.25">
      <c r="A25" t="s">
        <v>842</v>
      </c>
      <c r="B25" t="s">
        <v>1041</v>
      </c>
      <c r="C25" s="26">
        <v>6.5780000000000005E-2</v>
      </c>
      <c r="D25" s="18">
        <v>2.7519999999999998</v>
      </c>
      <c r="E25" s="33">
        <v>4.6470000000000002</v>
      </c>
      <c r="F25" s="1" t="str">
        <f>HYPERLINK("http://www.ncbi.nlm.nih.gov/pubmed/?term=Nfatc2","Nfatc2")</f>
        <v>Nfatc2</v>
      </c>
    </row>
    <row r="26" spans="1:6" x14ac:dyDescent="0.25">
      <c r="A26" t="s">
        <v>1358</v>
      </c>
      <c r="B26" t="s">
        <v>93</v>
      </c>
      <c r="C26" s="23">
        <v>1.631</v>
      </c>
      <c r="D26" s="33">
        <v>5.2169999999999996</v>
      </c>
      <c r="E26" s="43">
        <v>8.82</v>
      </c>
      <c r="F26" s="1" t="str">
        <f>HYPERLINK("http://www.ncbi.nlm.nih.gov/pubmed/?term=Fgf21","Fgf21")</f>
        <v>Fgf21</v>
      </c>
    </row>
    <row r="27" spans="1:6" x14ac:dyDescent="0.25">
      <c r="A27" t="s">
        <v>2008</v>
      </c>
      <c r="B27" t="s">
        <v>1548</v>
      </c>
      <c r="C27" s="23">
        <v>1.6479999999999999</v>
      </c>
      <c r="D27" s="23">
        <v>2.121</v>
      </c>
      <c r="E27" s="22">
        <v>4.1719999999999997</v>
      </c>
      <c r="F27" s="1" t="str">
        <f>HYPERLINK("http://www.ncbi.nlm.nih.gov/pubmed/?term=Fgf13","Fgf13")</f>
        <v>Fgf13</v>
      </c>
    </row>
    <row r="28" spans="1:6" x14ac:dyDescent="0.25">
      <c r="A28" t="s">
        <v>2156</v>
      </c>
      <c r="B28" t="s">
        <v>1873</v>
      </c>
      <c r="C28" s="26">
        <v>0.14319999999999999</v>
      </c>
      <c r="D28" s="33">
        <v>4.9749999999999996</v>
      </c>
      <c r="E28" s="2">
        <v>7.1059999999999999</v>
      </c>
      <c r="F28" s="1" t="str">
        <f>HYPERLINK("http://www.ncbi.nlm.nih.gov/pubmed/?term=Dusp4","Dusp4")</f>
        <v>Dusp4</v>
      </c>
    </row>
    <row r="29" spans="1:6" x14ac:dyDescent="0.25">
      <c r="A29" t="s">
        <v>1352</v>
      </c>
      <c r="B29" t="s">
        <v>2160</v>
      </c>
      <c r="C29" s="33">
        <v>4.5460000000000003</v>
      </c>
      <c r="D29" s="33">
        <v>4.9820000000000002</v>
      </c>
      <c r="E29" s="45">
        <v>6.2560000000000002</v>
      </c>
      <c r="F29" s="1" t="str">
        <f>HYPERLINK("http://www.ncbi.nlm.nih.gov/pubmed/?term=Ikbkb","Ikbkb")</f>
        <v>Ikbkb</v>
      </c>
    </row>
    <row r="30" spans="1:6" x14ac:dyDescent="0.25">
      <c r="A30" t="s">
        <v>674</v>
      </c>
      <c r="B30" t="s">
        <v>1949</v>
      </c>
      <c r="C30" s="18">
        <v>2.6110000000000002</v>
      </c>
      <c r="D30" s="22">
        <v>4.2789999999999999</v>
      </c>
      <c r="E30" s="2">
        <v>6.8239999999999998</v>
      </c>
      <c r="F30" s="1" t="str">
        <f>HYPERLINK("http://www.ncbi.nlm.nih.gov/pubmed/?term=Rac2","Rac2")</f>
        <v>Rac2</v>
      </c>
    </row>
    <row r="31" spans="1:6" x14ac:dyDescent="0.25">
      <c r="A31" t="s">
        <v>478</v>
      </c>
      <c r="B31" t="s">
        <v>766</v>
      </c>
      <c r="C31" s="26">
        <v>-4.9610000000000003</v>
      </c>
      <c r="D31" s="26">
        <v>-1.6679999999999999</v>
      </c>
      <c r="E31" s="33">
        <v>4.8499999999999996</v>
      </c>
      <c r="F31" s="1" t="str">
        <f>HYPERLINK("http://www.ncbi.nlm.nih.gov/pubmed/?term=Cacng8","Cacng8")</f>
        <v>Cacng8</v>
      </c>
    </row>
    <row r="32" spans="1:6" x14ac:dyDescent="0.25">
      <c r="A32" t="s">
        <v>909</v>
      </c>
      <c r="B32" t="s">
        <v>1766</v>
      </c>
      <c r="C32" s="13">
        <v>1.18</v>
      </c>
      <c r="D32" s="22">
        <v>4.4390000000000001</v>
      </c>
      <c r="E32" s="45">
        <v>6.1040000000000001</v>
      </c>
      <c r="F32" s="1" t="str">
        <f>HYPERLINK("http://www.ncbi.nlm.nih.gov/pubmed/?term=Pla2g4a","Pla2g4a")</f>
        <v>Pla2g4a</v>
      </c>
    </row>
    <row r="33" spans="1:6" x14ac:dyDescent="0.25">
      <c r="A33" t="s">
        <v>836</v>
      </c>
      <c r="B33" t="s">
        <v>638</v>
      </c>
      <c r="C33" s="18">
        <v>3.403</v>
      </c>
      <c r="D33" s="22">
        <v>4.1059999999999999</v>
      </c>
      <c r="E33" s="45">
        <v>5.5940000000000003</v>
      </c>
      <c r="F33" s="1" t="str">
        <f>HYPERLINK("http://www.ncbi.nlm.nih.gov/pubmed/?term=Arrb2","Arrb2")</f>
        <v>Arrb2</v>
      </c>
    </row>
    <row r="34" spans="1:6" x14ac:dyDescent="0.25">
      <c r="A34" t="s">
        <v>1952</v>
      </c>
      <c r="B34" t="s">
        <v>1467</v>
      </c>
      <c r="C34" s="22">
        <v>4.3129999999999997</v>
      </c>
      <c r="D34" s="22">
        <v>4.3860000000000001</v>
      </c>
      <c r="E34" s="18">
        <v>2.931</v>
      </c>
      <c r="F34" s="1" t="str">
        <f>HYPERLINK("http://www.ncbi.nlm.nih.gov/pubmed/?term=B230120H23Rik","B230120H23Rik")</f>
        <v>B230120H23Rik</v>
      </c>
    </row>
    <row r="35" spans="1:6" x14ac:dyDescent="0.25">
      <c r="A35" t="s">
        <v>1045</v>
      </c>
      <c r="B35" t="s">
        <v>1412</v>
      </c>
      <c r="C35" s="43">
        <v>8.2629999999999999</v>
      </c>
      <c r="D35" s="43">
        <v>8.5969999999999995</v>
      </c>
      <c r="E35" s="2">
        <v>6.7990000000000004</v>
      </c>
      <c r="F35" s="1" t="str">
        <f>HYPERLINK("http://www.ncbi.nlm.nih.gov/pubmed/?term=Fos","Fos")</f>
        <v>Fos</v>
      </c>
    </row>
    <row r="36" spans="1:6" x14ac:dyDescent="0.25">
      <c r="A36" t="s">
        <v>1882</v>
      </c>
      <c r="B36" t="s">
        <v>474</v>
      </c>
      <c r="C36" s="18">
        <v>3.1909999999999998</v>
      </c>
      <c r="D36" s="22">
        <v>4.0170000000000003</v>
      </c>
      <c r="E36" s="13">
        <v>1.3959999999999999</v>
      </c>
      <c r="F36" s="1" t="str">
        <f>HYPERLINK("http://www.ncbi.nlm.nih.gov/pubmed/?term=Tgfb3","Tgfb3")</f>
        <v>Tgfb3</v>
      </c>
    </row>
    <row r="37" spans="1:6" x14ac:dyDescent="0.25">
      <c r="A37" t="s">
        <v>1334</v>
      </c>
      <c r="B37" t="s">
        <v>5</v>
      </c>
      <c r="C37" s="18">
        <v>3.4769999999999999</v>
      </c>
      <c r="D37" s="22">
        <v>3.6840000000000002</v>
      </c>
      <c r="E37" s="18">
        <v>2.5219999999999998</v>
      </c>
      <c r="F37" s="1" t="str">
        <f>HYPERLINK("http://www.ncbi.nlm.nih.gov/pubmed/?term=Sos1","Sos1")</f>
        <v>Sos1</v>
      </c>
    </row>
    <row r="38" spans="1:6" x14ac:dyDescent="0.25">
      <c r="A38" t="s">
        <v>251</v>
      </c>
      <c r="B38" t="s">
        <v>150</v>
      </c>
      <c r="C38" s="43">
        <v>8.1829999999999998</v>
      </c>
      <c r="D38" s="43">
        <v>8.3659999999999997</v>
      </c>
      <c r="E38" s="45">
        <v>6.13</v>
      </c>
      <c r="F38" s="1" t="str">
        <f>HYPERLINK("http://www.ncbi.nlm.nih.gov/pubmed/?term=Flna","Flna")</f>
        <v>Flna</v>
      </c>
    </row>
    <row r="39" spans="1:6" x14ac:dyDescent="0.25">
      <c r="A39" t="s">
        <v>1884</v>
      </c>
      <c r="B39" t="s">
        <v>2000</v>
      </c>
      <c r="C39" s="43">
        <v>8.7729999999999997</v>
      </c>
      <c r="D39" s="43">
        <v>9.0190000000000001</v>
      </c>
      <c r="E39" s="2">
        <v>7.4089999999999998</v>
      </c>
      <c r="F39" s="1" t="str">
        <f>HYPERLINK("http://www.ncbi.nlm.nih.gov/pubmed/?term=Jun","Jun")</f>
        <v>Jun</v>
      </c>
    </row>
    <row r="40" spans="1:6" x14ac:dyDescent="0.25">
      <c r="A40" t="s">
        <v>1506</v>
      </c>
      <c r="B40" t="s">
        <v>1331</v>
      </c>
      <c r="C40" s="33">
        <v>4.74</v>
      </c>
      <c r="D40" s="22">
        <v>3.9580000000000002</v>
      </c>
      <c r="E40" s="18">
        <v>2.786</v>
      </c>
      <c r="F40" s="1" t="str">
        <f>HYPERLINK("http://www.ncbi.nlm.nih.gov/pubmed/?term=Prkacb","Prkacb")</f>
        <v>Prkacb</v>
      </c>
    </row>
    <row r="41" spans="1:6" x14ac:dyDescent="0.25">
      <c r="A41" t="s">
        <v>1733</v>
      </c>
      <c r="B41" t="s">
        <v>1829</v>
      </c>
      <c r="C41" s="22">
        <v>3.9809999999999999</v>
      </c>
      <c r="D41" s="18">
        <v>3.1789999999999998</v>
      </c>
      <c r="E41" s="18">
        <v>2.843</v>
      </c>
      <c r="F41" s="1" t="str">
        <f>HYPERLINK("http://www.ncbi.nlm.nih.gov/pubmed/?term=Crkl","Crkl")</f>
        <v>Crkl</v>
      </c>
    </row>
    <row r="42" spans="1:6" x14ac:dyDescent="0.25">
      <c r="A42" t="s">
        <v>2153</v>
      </c>
      <c r="B42" t="s">
        <v>597</v>
      </c>
      <c r="C42" s="22">
        <v>3.9540000000000002</v>
      </c>
      <c r="D42" s="22">
        <v>3.7280000000000002</v>
      </c>
      <c r="E42" s="18">
        <v>2.7639999999999998</v>
      </c>
      <c r="F42" s="1" t="str">
        <f>HYPERLINK("http://www.ncbi.nlm.nih.gov/pubmed/?term=Map3k4","Map3k4")</f>
        <v>Map3k4</v>
      </c>
    </row>
    <row r="43" spans="1:6" x14ac:dyDescent="0.25">
      <c r="A43" t="s">
        <v>1097</v>
      </c>
      <c r="B43" t="s">
        <v>1251</v>
      </c>
      <c r="C43" s="45">
        <v>5.7690000000000001</v>
      </c>
      <c r="D43" s="33">
        <v>5.1139999999999999</v>
      </c>
      <c r="E43" s="33">
        <v>4.6520000000000001</v>
      </c>
      <c r="F43" s="1" t="str">
        <f>HYPERLINK("http://www.ncbi.nlm.nih.gov/pubmed/?term=Mapkapk2","Mapkapk2")</f>
        <v>Mapkapk2</v>
      </c>
    </row>
    <row r="44" spans="1:6" x14ac:dyDescent="0.25">
      <c r="A44" t="s">
        <v>144</v>
      </c>
      <c r="B44" t="s">
        <v>1903</v>
      </c>
      <c r="C44" s="22">
        <v>3.9849999999999999</v>
      </c>
      <c r="D44" s="18">
        <v>3.5</v>
      </c>
      <c r="E44" s="18">
        <v>2.7890000000000001</v>
      </c>
      <c r="F44" s="1" t="str">
        <f>HYPERLINK("http://www.ncbi.nlm.nih.gov/pubmed/?term=Taok1","Taok1")</f>
        <v>Taok1</v>
      </c>
    </row>
    <row r="45" spans="1:6" x14ac:dyDescent="0.25">
      <c r="A45" t="s">
        <v>641</v>
      </c>
      <c r="B45" t="s">
        <v>346</v>
      </c>
      <c r="C45" s="45">
        <v>5.5090000000000003</v>
      </c>
      <c r="D45" s="33">
        <v>4.79</v>
      </c>
      <c r="E45" s="22">
        <v>4.3810000000000002</v>
      </c>
      <c r="F45" s="1" t="str">
        <f>HYPERLINK("http://www.ncbi.nlm.nih.gov/pubmed/?term=Crk","Crk")</f>
        <v>Crk</v>
      </c>
    </row>
    <row r="46" spans="1:6" x14ac:dyDescent="0.25">
      <c r="A46" t="s">
        <v>830</v>
      </c>
      <c r="B46" t="s">
        <v>1874</v>
      </c>
      <c r="C46" s="33">
        <v>4.7240000000000002</v>
      </c>
      <c r="D46" s="18">
        <v>3.28</v>
      </c>
      <c r="E46" s="23">
        <v>1.5589999999999999</v>
      </c>
      <c r="F46" s="1" t="str">
        <f>HYPERLINK("http://www.ncbi.nlm.nih.gov/pubmed/?term=Dusp6","Dusp6")</f>
        <v>Dusp6</v>
      </c>
    </row>
    <row r="47" spans="1:6" x14ac:dyDescent="0.25">
      <c r="A47" t="s">
        <v>1444</v>
      </c>
      <c r="B47" t="s">
        <v>1417</v>
      </c>
      <c r="C47" s="33">
        <v>4.7190000000000003</v>
      </c>
      <c r="D47" s="22">
        <v>4.1989999999999998</v>
      </c>
      <c r="E47" s="18">
        <v>2.794</v>
      </c>
      <c r="F47" s="1" t="str">
        <f>HYPERLINK("http://www.ncbi.nlm.nih.gov/pubmed/?term=Egfr","Egfr")</f>
        <v>Egfr</v>
      </c>
    </row>
    <row r="48" spans="1:6" x14ac:dyDescent="0.25">
      <c r="A48" t="s">
        <v>31</v>
      </c>
      <c r="B48" t="s">
        <v>400</v>
      </c>
      <c r="C48" s="22">
        <v>4.476</v>
      </c>
      <c r="D48" s="22">
        <v>3.5920000000000001</v>
      </c>
      <c r="E48" s="18">
        <v>3.4319999999999999</v>
      </c>
      <c r="F48" s="1" t="str">
        <f>HYPERLINK("http://www.ncbi.nlm.nih.gov/pubmed/?term=Mapk9","Mapk9")</f>
        <v>Mapk9</v>
      </c>
    </row>
    <row r="49" spans="1:6" x14ac:dyDescent="0.25">
      <c r="A49" t="s">
        <v>1529</v>
      </c>
      <c r="B49" t="s">
        <v>749</v>
      </c>
      <c r="C49" s="22">
        <v>3.698</v>
      </c>
      <c r="D49" s="18">
        <v>2.81</v>
      </c>
      <c r="E49" s="23">
        <v>2.1419999999999999</v>
      </c>
      <c r="F49" s="1" t="str">
        <f>HYPERLINK("http://www.ncbi.nlm.nih.gov/pubmed/?term=Nf1","Nf1")</f>
        <v>Nf1</v>
      </c>
    </row>
    <row r="50" spans="1:6" x14ac:dyDescent="0.25">
      <c r="A50" t="s">
        <v>1891</v>
      </c>
      <c r="B50" t="s">
        <v>572</v>
      </c>
      <c r="C50" s="22">
        <v>4.3120000000000003</v>
      </c>
      <c r="D50" s="22">
        <v>3.5579999999999998</v>
      </c>
      <c r="E50" s="18">
        <v>3.1829999999999998</v>
      </c>
      <c r="F50" s="1" t="str">
        <f>HYPERLINK("http://www.ncbi.nlm.nih.gov/pubmed/?term=Rasa1","Rasa1")</f>
        <v>Rasa1</v>
      </c>
    </row>
    <row r="51" spans="1:6" x14ac:dyDescent="0.25">
      <c r="A51" t="s">
        <v>834</v>
      </c>
      <c r="B51" t="s">
        <v>1552</v>
      </c>
      <c r="C51" s="33">
        <v>4.516</v>
      </c>
      <c r="D51" s="22">
        <v>3.7549999999999999</v>
      </c>
      <c r="E51" s="18">
        <v>3.4649999999999999</v>
      </c>
      <c r="F51" s="1" t="str">
        <f>HYPERLINK("http://www.ncbi.nlm.nih.gov/pubmed/?term=Mapk8","Mapk8")</f>
        <v>Mapk8</v>
      </c>
    </row>
    <row r="52" spans="1:6" x14ac:dyDescent="0.25">
      <c r="A52" t="s">
        <v>1390</v>
      </c>
      <c r="B52" t="s">
        <v>1007</v>
      </c>
      <c r="C52" s="22">
        <v>4.18</v>
      </c>
      <c r="D52" s="18">
        <v>2.96</v>
      </c>
      <c r="E52" s="23">
        <v>2.302</v>
      </c>
      <c r="F52" s="1" t="str">
        <f>HYPERLINK("http://www.ncbi.nlm.nih.gov/pubmed/?term=Stk3","Stk3")</f>
        <v>Stk3</v>
      </c>
    </row>
    <row r="53" spans="1:6" x14ac:dyDescent="0.25">
      <c r="A53" t="s">
        <v>1398</v>
      </c>
      <c r="B53" t="s">
        <v>36</v>
      </c>
      <c r="C53" s="22">
        <v>4.2149999999999999</v>
      </c>
      <c r="D53" s="18">
        <v>3.403</v>
      </c>
      <c r="E53" s="23">
        <v>2.5</v>
      </c>
      <c r="F53" s="1" t="str">
        <f>HYPERLINK("http://www.ncbi.nlm.nih.gov/pubmed/?term=Tab1","Tab1")</f>
        <v>Tab1</v>
      </c>
    </row>
    <row r="54" spans="1:6" x14ac:dyDescent="0.25">
      <c r="A54" t="s">
        <v>1853</v>
      </c>
      <c r="B54" t="s">
        <v>1261</v>
      </c>
      <c r="C54" s="33">
        <v>4.8940000000000001</v>
      </c>
      <c r="D54" s="18">
        <v>3.1509999999999998</v>
      </c>
      <c r="E54" s="18">
        <v>2.573</v>
      </c>
      <c r="F54" s="1" t="str">
        <f>HYPERLINK("http://www.ncbi.nlm.nih.gov/pubmed/?term=Nr4a1","Nr4a1")</f>
        <v>Nr4a1</v>
      </c>
    </row>
    <row r="55" spans="1:6" x14ac:dyDescent="0.25">
      <c r="A55" t="s">
        <v>242</v>
      </c>
      <c r="B55" t="s">
        <v>997</v>
      </c>
      <c r="C55" s="45">
        <v>6.056</v>
      </c>
      <c r="D55" s="33">
        <v>5.3730000000000002</v>
      </c>
      <c r="E55" s="22">
        <v>4.3070000000000004</v>
      </c>
      <c r="F55" s="1" t="str">
        <f>HYPERLINK("http://www.ncbi.nlm.nih.gov/pubmed/?term=Tnfrsf1a","Tnfrsf1a")</f>
        <v>Tnfrsf1a</v>
      </c>
    </row>
    <row r="56" spans="1:6" x14ac:dyDescent="0.25">
      <c r="A56" t="s">
        <v>1670</v>
      </c>
      <c r="B56" t="s">
        <v>1148</v>
      </c>
      <c r="C56" s="45">
        <v>6.226</v>
      </c>
      <c r="D56" s="45">
        <v>5.8049999999999997</v>
      </c>
      <c r="E56" s="23">
        <v>2.2450000000000001</v>
      </c>
      <c r="F56" s="1" t="str">
        <f>HYPERLINK("http://www.ncbi.nlm.nih.gov/pubmed/?term=Fgfr2","Fgfr2")</f>
        <v>Fgfr2</v>
      </c>
    </row>
    <row r="57" spans="1:6" x14ac:dyDescent="0.25">
      <c r="A57" t="s">
        <v>650</v>
      </c>
      <c r="B57" t="s">
        <v>2046</v>
      </c>
      <c r="C57" s="33">
        <v>4.5739999999999998</v>
      </c>
      <c r="D57" s="23">
        <v>2.1139999999999999</v>
      </c>
      <c r="E57" s="26">
        <v>-0.61719999999999997</v>
      </c>
      <c r="F57" s="1" t="str">
        <f>HYPERLINK("http://www.ncbi.nlm.nih.gov/pubmed/?term=Tgfbr2","Tgfbr2")</f>
        <v>Tgfbr2</v>
      </c>
    </row>
    <row r="58" spans="1:6" x14ac:dyDescent="0.25">
      <c r="A58" t="s">
        <v>1620</v>
      </c>
      <c r="B58" t="s">
        <v>1646</v>
      </c>
      <c r="C58" s="22">
        <v>4.484</v>
      </c>
      <c r="D58" s="22">
        <v>3.6629999999999998</v>
      </c>
      <c r="E58" s="18">
        <v>2.92</v>
      </c>
      <c r="F58" s="1" t="str">
        <f>HYPERLINK("http://www.ncbi.nlm.nih.gov/pubmed/?term=Map2k4","Map2k4")</f>
        <v>Map2k4</v>
      </c>
    </row>
    <row r="59" spans="1:6" x14ac:dyDescent="0.25">
      <c r="A59" t="s">
        <v>329</v>
      </c>
      <c r="B59" t="s">
        <v>54</v>
      </c>
      <c r="C59" s="33">
        <v>5.2060000000000004</v>
      </c>
      <c r="D59" s="33">
        <v>4.9320000000000004</v>
      </c>
      <c r="E59" s="22">
        <v>4.3140000000000001</v>
      </c>
      <c r="F59" s="1" t="str">
        <f>HYPERLINK("http://www.ncbi.nlm.nih.gov/pubmed/?term=Gng12","Gng12")</f>
        <v>Gng12</v>
      </c>
    </row>
    <row r="60" spans="1:6" x14ac:dyDescent="0.25">
      <c r="A60" t="s">
        <v>948</v>
      </c>
      <c r="B60" t="s">
        <v>829</v>
      </c>
      <c r="C60" s="45">
        <v>5.7649999999999997</v>
      </c>
      <c r="D60" s="45">
        <v>5.5519999999999996</v>
      </c>
      <c r="E60" s="22">
        <v>3.9569999999999999</v>
      </c>
      <c r="F60" s="1" t="str">
        <f>HYPERLINK("http://www.ncbi.nlm.nih.gov/pubmed/?term=Rras","Rras")</f>
        <v>Rras</v>
      </c>
    </row>
    <row r="61" spans="1:6" x14ac:dyDescent="0.25">
      <c r="A61" t="s">
        <v>414</v>
      </c>
      <c r="B61" t="s">
        <v>236</v>
      </c>
      <c r="C61" s="18">
        <v>3.4340000000000002</v>
      </c>
      <c r="D61" s="13">
        <v>1.3480000000000001</v>
      </c>
      <c r="E61" s="13">
        <v>0.87639999999999996</v>
      </c>
      <c r="F61" s="1" t="str">
        <f>HYPERLINK("http://www.ncbi.nlm.nih.gov/pubmed/?term=Fgf11","Fgf11")</f>
        <v>Fgf11</v>
      </c>
    </row>
    <row r="62" spans="1:6" x14ac:dyDescent="0.25">
      <c r="A62" t="s">
        <v>1902</v>
      </c>
      <c r="B62" t="s">
        <v>292</v>
      </c>
      <c r="C62" s="33">
        <v>5.4859999999999998</v>
      </c>
      <c r="D62" s="33">
        <v>5.1769999999999996</v>
      </c>
      <c r="E62" s="22">
        <v>4.3440000000000003</v>
      </c>
      <c r="F62" s="1" t="str">
        <f>HYPERLINK("http://www.ncbi.nlm.nih.gov/pubmed/?term=Mapk14","Mapk14")</f>
        <v>Mapk14</v>
      </c>
    </row>
    <row r="63" spans="1:6" x14ac:dyDescent="0.25">
      <c r="A63" t="s">
        <v>94</v>
      </c>
      <c r="B63" t="s">
        <v>605</v>
      </c>
      <c r="C63" s="18">
        <v>3.35</v>
      </c>
      <c r="D63" s="18">
        <v>2.903</v>
      </c>
      <c r="E63" s="23">
        <v>2.153</v>
      </c>
      <c r="F63" s="1" t="str">
        <f>HYPERLINK("http://www.ncbi.nlm.nih.gov/pubmed/?term=Rras2","Rras2")</f>
        <v>Rras2</v>
      </c>
    </row>
    <row r="64" spans="1:6" x14ac:dyDescent="0.25">
      <c r="A64" t="s">
        <v>1120</v>
      </c>
      <c r="B64" t="s">
        <v>1904</v>
      </c>
      <c r="C64" s="33">
        <v>4.5579999999999998</v>
      </c>
      <c r="D64" s="18">
        <v>3.0569999999999999</v>
      </c>
      <c r="E64" s="18">
        <v>2.5950000000000002</v>
      </c>
      <c r="F64" s="1" t="str">
        <f>HYPERLINK("http://www.ncbi.nlm.nih.gov/pubmed/?term=Taok3","Taok3")</f>
        <v>Taok3</v>
      </c>
    </row>
    <row r="65" spans="1:6" x14ac:dyDescent="0.25">
      <c r="A65" t="s">
        <v>1459</v>
      </c>
      <c r="B65" t="s">
        <v>473</v>
      </c>
      <c r="C65" s="18">
        <v>3.3570000000000002</v>
      </c>
      <c r="D65" s="18">
        <v>2.609</v>
      </c>
      <c r="E65" s="22">
        <v>3.7639999999999998</v>
      </c>
      <c r="F65" s="1" t="str">
        <f>HYPERLINK("http://www.ncbi.nlm.nih.gov/pubmed/?term=Tgfb1","Tgfb1")</f>
        <v>Tgfb1</v>
      </c>
    </row>
    <row r="66" spans="1:6" x14ac:dyDescent="0.25">
      <c r="A66" t="s">
        <v>807</v>
      </c>
      <c r="B66" t="s">
        <v>1950</v>
      </c>
      <c r="C66" s="33">
        <v>5.1239999999999997</v>
      </c>
      <c r="D66" s="18">
        <v>3.4119999999999999</v>
      </c>
      <c r="E66" s="33">
        <v>5.2290000000000001</v>
      </c>
      <c r="F66" s="1" t="str">
        <f>HYPERLINK("http://www.ncbi.nlm.nih.gov/pubmed/?term=Rac3","Rac3")</f>
        <v>Rac3</v>
      </c>
    </row>
    <row r="67" spans="1:6" x14ac:dyDescent="0.25">
      <c r="A67" t="s">
        <v>1942</v>
      </c>
      <c r="B67" t="s">
        <v>506</v>
      </c>
      <c r="C67" s="33">
        <v>4.665</v>
      </c>
      <c r="D67" s="22">
        <v>4.1630000000000003</v>
      </c>
      <c r="E67" s="33">
        <v>5.266</v>
      </c>
      <c r="F67" s="1" t="str">
        <f>HYPERLINK("http://www.ncbi.nlm.nih.gov/pubmed/?term=Map3k14","Map3k14")</f>
        <v>Map3k14</v>
      </c>
    </row>
    <row r="68" spans="1:6" x14ac:dyDescent="0.25">
      <c r="A68" t="s">
        <v>191</v>
      </c>
      <c r="B68" t="s">
        <v>592</v>
      </c>
      <c r="C68" s="18">
        <v>2.7770000000000001</v>
      </c>
      <c r="D68" s="23">
        <v>2.3420000000000001</v>
      </c>
      <c r="E68" s="22">
        <v>4.452</v>
      </c>
      <c r="F68" s="1" t="str">
        <f>HYPERLINK("http://www.ncbi.nlm.nih.gov/pubmed/?term=Map3k8","Map3k8")</f>
        <v>Map3k8</v>
      </c>
    </row>
    <row r="69" spans="1:6" x14ac:dyDescent="0.25">
      <c r="A69" t="s">
        <v>113</v>
      </c>
      <c r="B69" t="s">
        <v>151</v>
      </c>
      <c r="C69" s="2">
        <v>6.7359999999999998</v>
      </c>
      <c r="D69" s="45">
        <v>5.9690000000000003</v>
      </c>
      <c r="E69" s="2">
        <v>7.0010000000000003</v>
      </c>
      <c r="F69" s="1" t="str">
        <f>HYPERLINK("http://www.ncbi.nlm.nih.gov/pubmed/?term=Flnb","Flnb")</f>
        <v>Flnb</v>
      </c>
    </row>
    <row r="70" spans="1:6" x14ac:dyDescent="0.25">
      <c r="A70" t="s">
        <v>529</v>
      </c>
      <c r="B70" t="s">
        <v>1321</v>
      </c>
      <c r="C70" s="18">
        <v>3.3559999999999999</v>
      </c>
      <c r="D70" s="18">
        <v>3.198</v>
      </c>
      <c r="E70" s="33">
        <v>5.0339999999999998</v>
      </c>
      <c r="F70" s="1" t="str">
        <f>HYPERLINK("http://www.ncbi.nlm.nih.gov/pubmed/?term=Traf6","Traf6")</f>
        <v>Traf6</v>
      </c>
    </row>
    <row r="71" spans="1:6" x14ac:dyDescent="0.25">
      <c r="A71" t="s">
        <v>1681</v>
      </c>
      <c r="B71" t="s">
        <v>146</v>
      </c>
      <c r="C71" s="22">
        <v>4.3460000000000001</v>
      </c>
      <c r="D71" s="22">
        <v>3.8780000000000001</v>
      </c>
      <c r="E71" s="45">
        <v>5.73</v>
      </c>
      <c r="F71" s="1" t="str">
        <f>HYPERLINK("http://www.ncbi.nlm.nih.gov/pubmed/?term=Dusp16","Dusp16")</f>
        <v>Dusp16</v>
      </c>
    </row>
    <row r="72" spans="1:6" x14ac:dyDescent="0.25">
      <c r="A72" t="s">
        <v>169</v>
      </c>
      <c r="B72" t="s">
        <v>89</v>
      </c>
      <c r="C72" s="33">
        <v>4.556</v>
      </c>
      <c r="D72" s="22">
        <v>4.26</v>
      </c>
      <c r="E72" s="45">
        <v>6.1230000000000002</v>
      </c>
      <c r="F72" s="1" t="str">
        <f>HYPERLINK("http://www.ncbi.nlm.nih.gov/pubmed/?term=Mras","Mras")</f>
        <v>Mras</v>
      </c>
    </row>
    <row r="73" spans="1:6" x14ac:dyDescent="0.25">
      <c r="A73" t="s">
        <v>1129</v>
      </c>
      <c r="B73" t="s">
        <v>2135</v>
      </c>
      <c r="C73" s="33">
        <v>5.0090000000000003</v>
      </c>
      <c r="D73" s="22">
        <v>4.431</v>
      </c>
      <c r="E73" s="45">
        <v>6.2279999999999998</v>
      </c>
      <c r="F73" s="1" t="str">
        <f>HYPERLINK("http://www.ncbi.nlm.nih.gov/pubmed/?term=Gadd45a","Gadd45a")</f>
        <v>Gadd45a</v>
      </c>
    </row>
    <row r="74" spans="1:6" x14ac:dyDescent="0.25">
      <c r="A74" t="s">
        <v>1048</v>
      </c>
      <c r="B74" t="s">
        <v>780</v>
      </c>
      <c r="C74" s="22">
        <v>3.5539999999999998</v>
      </c>
      <c r="D74" s="18">
        <v>3.0259999999999998</v>
      </c>
      <c r="E74" s="22">
        <v>4.2300000000000004</v>
      </c>
      <c r="F74" s="1" t="str">
        <f>HYPERLINK("http://www.ncbi.nlm.nih.gov/pubmed/?term=Dusp10","Dusp10")</f>
        <v>Dusp10</v>
      </c>
    </row>
    <row r="75" spans="1:6" x14ac:dyDescent="0.25">
      <c r="A75" t="s">
        <v>1880</v>
      </c>
      <c r="B75" t="s">
        <v>1077</v>
      </c>
      <c r="C75" s="22">
        <v>3.6549999999999998</v>
      </c>
      <c r="D75" s="18">
        <v>3.3140000000000001</v>
      </c>
      <c r="E75" s="45">
        <v>6.2270000000000003</v>
      </c>
      <c r="F75" s="1" t="str">
        <f>HYPERLINK("http://www.ncbi.nlm.nih.gov/pubmed/?term=Prkca","Prkca")</f>
        <v>Prkca</v>
      </c>
    </row>
    <row r="76" spans="1:6" x14ac:dyDescent="0.25">
      <c r="A76" t="s">
        <v>159</v>
      </c>
      <c r="B76" t="s">
        <v>1644</v>
      </c>
      <c r="C76" s="2">
        <v>6.5579999999999998</v>
      </c>
      <c r="D76" s="33">
        <v>4.7640000000000002</v>
      </c>
      <c r="E76" s="33">
        <v>5.4039999999999999</v>
      </c>
      <c r="F76" s="1" t="str">
        <f>HYPERLINK("http://www.ncbi.nlm.nih.gov/pubmed/?term=Map2k1","Map2k1")</f>
        <v>Map2k1</v>
      </c>
    </row>
    <row r="77" spans="1:6" x14ac:dyDescent="0.25">
      <c r="A77" t="s">
        <v>947</v>
      </c>
      <c r="B77" t="s">
        <v>778</v>
      </c>
      <c r="C77" s="22">
        <v>4.1689999999999996</v>
      </c>
      <c r="D77" s="18">
        <v>2.8260000000000001</v>
      </c>
      <c r="E77" s="18">
        <v>2.915</v>
      </c>
      <c r="F77" s="1" t="str">
        <f>HYPERLINK("http://www.ncbi.nlm.nih.gov/pubmed/?term=Dusp14","Dusp14")</f>
        <v>Dusp14</v>
      </c>
    </row>
    <row r="78" spans="1:6" x14ac:dyDescent="0.25">
      <c r="A78" t="s">
        <v>920</v>
      </c>
      <c r="B78" t="s">
        <v>239</v>
      </c>
      <c r="C78" s="2">
        <v>6.7590000000000003</v>
      </c>
      <c r="D78" s="23">
        <v>1.976</v>
      </c>
      <c r="E78" s="22">
        <v>3.9089999999999998</v>
      </c>
      <c r="F78" s="1" t="str">
        <f>HYPERLINK("http://www.ncbi.nlm.nih.gov/pubmed/?term=Fgf14","Fgf14")</f>
        <v>Fgf14</v>
      </c>
    </row>
    <row r="79" spans="1:6" x14ac:dyDescent="0.25">
      <c r="A79" t="s">
        <v>2142</v>
      </c>
      <c r="B79" t="s">
        <v>944</v>
      </c>
      <c r="C79" s="33">
        <v>5.0490000000000004</v>
      </c>
      <c r="D79" s="18">
        <v>3.4820000000000002</v>
      </c>
      <c r="E79" s="22">
        <v>3.6070000000000002</v>
      </c>
      <c r="F79" s="1" t="str">
        <f>HYPERLINK("http://www.ncbi.nlm.nih.gov/pubmed/?term=Rps6ka3","Rps6ka3")</f>
        <v>Rps6ka3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1839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1971</v>
      </c>
      <c r="B5" t="s">
        <v>671</v>
      </c>
      <c r="C5" s="26">
        <v>-2.4889999999999999</v>
      </c>
      <c r="D5" s="22">
        <v>3.9620000000000002</v>
      </c>
      <c r="E5" s="13">
        <v>1.2070000000000001</v>
      </c>
      <c r="F5" s="1" t="str">
        <f>HYPERLINK("http://www.ncbi.nlm.nih.gov/pubmed/?term=Pgf","Pgf")</f>
        <v>Pgf</v>
      </c>
    </row>
    <row r="6" spans="1:6" x14ac:dyDescent="0.25">
      <c r="A6" t="s">
        <v>2016</v>
      </c>
      <c r="B6" t="s">
        <v>1464</v>
      </c>
      <c r="C6" s="26">
        <v>-0.25159999999999999</v>
      </c>
      <c r="D6" s="33">
        <v>4.952</v>
      </c>
      <c r="E6" s="13">
        <v>0.69540000000000002</v>
      </c>
      <c r="F6" s="1" t="str">
        <f>HYPERLINK("http://www.ncbi.nlm.nih.gov/pubmed/?term=Pik3cg","Pik3cg")</f>
        <v>Pik3cg</v>
      </c>
    </row>
    <row r="7" spans="1:6" x14ac:dyDescent="0.25">
      <c r="A7" t="s">
        <v>1335</v>
      </c>
      <c r="B7" t="s">
        <v>1328</v>
      </c>
      <c r="C7" s="13">
        <v>0.53520000000000001</v>
      </c>
      <c r="D7" s="45">
        <v>5.8090000000000002</v>
      </c>
      <c r="E7" s="18">
        <v>2.5489999999999999</v>
      </c>
      <c r="F7" s="1" t="str">
        <f>HYPERLINK("http://www.ncbi.nlm.nih.gov/pubmed/?term=Pik3r5","Pik3r5")</f>
        <v>Pik3r5</v>
      </c>
    </row>
    <row r="8" spans="1:6" x14ac:dyDescent="0.25">
      <c r="A8" t="s">
        <v>1012</v>
      </c>
      <c r="B8" t="s">
        <v>608</v>
      </c>
      <c r="C8" s="13">
        <v>0.79710000000000003</v>
      </c>
      <c r="D8" s="22">
        <v>3.81</v>
      </c>
      <c r="E8" s="23">
        <v>2.1230000000000002</v>
      </c>
      <c r="F8" s="1" t="str">
        <f>HYPERLINK("http://www.ncbi.nlm.nih.gov/pubmed/?term=Pak1","Pak1")</f>
        <v>Pak1</v>
      </c>
    </row>
    <row r="9" spans="1:6" x14ac:dyDescent="0.25">
      <c r="A9" t="s">
        <v>2104</v>
      </c>
      <c r="B9" t="s">
        <v>2006</v>
      </c>
      <c r="C9" s="13">
        <v>1.4119999999999999</v>
      </c>
      <c r="D9" s="22">
        <v>3.6469999999999998</v>
      </c>
      <c r="E9" s="33">
        <v>4.6820000000000004</v>
      </c>
      <c r="F9" s="1" t="str">
        <f>HYPERLINK("http://www.ncbi.nlm.nih.gov/pubmed/?term=Arnt2","Arnt2")</f>
        <v>Arnt2</v>
      </c>
    </row>
    <row r="10" spans="1:6" x14ac:dyDescent="0.25">
      <c r="A10" t="s">
        <v>333</v>
      </c>
      <c r="B10" t="s">
        <v>1460</v>
      </c>
      <c r="C10" s="26">
        <v>0.44829999999999998</v>
      </c>
      <c r="D10" s="23">
        <v>2.1360000000000001</v>
      </c>
      <c r="E10" s="22">
        <v>3.8809999999999998</v>
      </c>
      <c r="F10" s="1" t="str">
        <f>HYPERLINK("http://www.ncbi.nlm.nih.gov/pubmed/?term=Pik3cb","Pik3cb")</f>
        <v>Pik3cb</v>
      </c>
    </row>
    <row r="11" spans="1:6" x14ac:dyDescent="0.25">
      <c r="A11" t="s">
        <v>1882</v>
      </c>
      <c r="B11" t="s">
        <v>474</v>
      </c>
      <c r="C11" s="18">
        <v>3.1909999999999998</v>
      </c>
      <c r="D11" s="22">
        <v>4.0170000000000003</v>
      </c>
      <c r="E11" s="13">
        <v>1.3959999999999999</v>
      </c>
      <c r="F11" s="1" t="str">
        <f>HYPERLINK("http://www.ncbi.nlm.nih.gov/pubmed/?term=Tgfb3","Tgfb3")</f>
        <v>Tgfb3</v>
      </c>
    </row>
    <row r="12" spans="1:6" x14ac:dyDescent="0.25">
      <c r="A12" t="s">
        <v>1334</v>
      </c>
      <c r="B12" t="s">
        <v>5</v>
      </c>
      <c r="C12" s="18">
        <v>3.4769999999999999</v>
      </c>
      <c r="D12" s="22">
        <v>3.6840000000000002</v>
      </c>
      <c r="E12" s="18">
        <v>2.5219999999999998</v>
      </c>
      <c r="F12" s="1" t="str">
        <f>HYPERLINK("http://www.ncbi.nlm.nih.gov/pubmed/?term=Sos1","Sos1")</f>
        <v>Sos1</v>
      </c>
    </row>
    <row r="13" spans="1:6" x14ac:dyDescent="0.25">
      <c r="A13" t="s">
        <v>1884</v>
      </c>
      <c r="B13" t="s">
        <v>2000</v>
      </c>
      <c r="C13" s="43">
        <v>8.7729999999999997</v>
      </c>
      <c r="D13" s="43">
        <v>9.0190000000000001</v>
      </c>
      <c r="E13" s="2">
        <v>7.4089999999999998</v>
      </c>
      <c r="F13" s="1" t="str">
        <f>HYPERLINK("http://www.ncbi.nlm.nih.gov/pubmed/?term=Jun","Jun")</f>
        <v>Jun</v>
      </c>
    </row>
    <row r="14" spans="1:6" x14ac:dyDescent="0.25">
      <c r="A14" t="s">
        <v>130</v>
      </c>
      <c r="B14" t="s">
        <v>1179</v>
      </c>
      <c r="C14" s="45">
        <v>6.399</v>
      </c>
      <c r="D14" s="45">
        <v>6.1420000000000003</v>
      </c>
      <c r="E14" s="33">
        <v>4.9630000000000001</v>
      </c>
      <c r="F14" s="1" t="str">
        <f>HYPERLINK("http://www.ncbi.nlm.nih.gov/pubmed/?term=Hif1a","Hif1a")</f>
        <v>Hif1a</v>
      </c>
    </row>
    <row r="15" spans="1:6" x14ac:dyDescent="0.25">
      <c r="A15" t="s">
        <v>2197</v>
      </c>
      <c r="B15" t="s">
        <v>1027</v>
      </c>
      <c r="C15" s="33">
        <v>5.4749999999999996</v>
      </c>
      <c r="D15" s="33">
        <v>5.3170000000000002</v>
      </c>
      <c r="E15" s="22">
        <v>3.907</v>
      </c>
      <c r="F15" s="1" t="str">
        <f>HYPERLINK("http://www.ncbi.nlm.nih.gov/pubmed/?term=Vegfa","Vegfa")</f>
        <v>Vegfa</v>
      </c>
    </row>
    <row r="16" spans="1:6" x14ac:dyDescent="0.25">
      <c r="A16" t="s">
        <v>723</v>
      </c>
      <c r="B16" t="s">
        <v>2064</v>
      </c>
      <c r="C16" s="33">
        <v>4.9119999999999999</v>
      </c>
      <c r="D16" s="22">
        <v>4.0970000000000004</v>
      </c>
      <c r="E16" s="23">
        <v>2.222</v>
      </c>
      <c r="F16" s="1" t="str">
        <f>HYPERLINK("http://www.ncbi.nlm.nih.gov/pubmed/?term=Gab1","Gab1")</f>
        <v>Gab1</v>
      </c>
    </row>
    <row r="17" spans="1:6" x14ac:dyDescent="0.25">
      <c r="A17" t="s">
        <v>462</v>
      </c>
      <c r="B17" t="s">
        <v>1632</v>
      </c>
      <c r="C17" s="22">
        <v>4.3159999999999998</v>
      </c>
      <c r="D17" s="22">
        <v>4.149</v>
      </c>
      <c r="E17" s="18">
        <v>3.0350000000000001</v>
      </c>
      <c r="F17" s="1" t="str">
        <f>HYPERLINK("http://www.ncbi.nlm.nih.gov/pubmed/?term=Egln3","Egln3")</f>
        <v>Egln3</v>
      </c>
    </row>
    <row r="18" spans="1:6" x14ac:dyDescent="0.25">
      <c r="A18" t="s">
        <v>1459</v>
      </c>
      <c r="B18" t="s">
        <v>473</v>
      </c>
      <c r="C18" s="18">
        <v>3.3570000000000002</v>
      </c>
      <c r="D18" s="18">
        <v>2.609</v>
      </c>
      <c r="E18" s="22">
        <v>3.7639999999999998</v>
      </c>
      <c r="F18" s="1" t="str">
        <f>HYPERLINK("http://www.ncbi.nlm.nih.gov/pubmed/?term=Tgfb1","Tgfb1")</f>
        <v>Tgfb1</v>
      </c>
    </row>
    <row r="19" spans="1:6" x14ac:dyDescent="0.25">
      <c r="A19" t="s">
        <v>1137</v>
      </c>
      <c r="B19" t="s">
        <v>1662</v>
      </c>
      <c r="C19" s="22">
        <v>4.3550000000000004</v>
      </c>
      <c r="D19" s="22">
        <v>4.165</v>
      </c>
      <c r="E19" s="45">
        <v>6.383</v>
      </c>
      <c r="F19" s="1" t="str">
        <f>HYPERLINK("http://www.ncbi.nlm.nih.gov/pubmed/?term=Rapgef1","Rapgef1")</f>
        <v>Rapgef1</v>
      </c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1556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23">
        <v>2.2389999999999999</v>
      </c>
      <c r="D5" s="2">
        <v>7.0960000000000001</v>
      </c>
      <c r="E5" s="33">
        <v>5.49</v>
      </c>
      <c r="F5" s="1" t="str">
        <f>HYPERLINK("http://www.ncbi.nlm.nih.gov/pubmed/?term=Mapk13","Mapk13")</f>
        <v>Mapk13</v>
      </c>
    </row>
    <row r="6" spans="1:6" x14ac:dyDescent="0.25">
      <c r="A6" t="s">
        <v>1171</v>
      </c>
      <c r="B6" t="s">
        <v>689</v>
      </c>
      <c r="C6" s="23">
        <v>1.607</v>
      </c>
      <c r="D6" s="22">
        <v>3.5720000000000001</v>
      </c>
      <c r="E6" s="23">
        <v>2.0129999999999999</v>
      </c>
      <c r="F6" s="1" t="str">
        <f>HYPERLINK("http://www.ncbi.nlm.nih.gov/pubmed/?term=Pld2","Pld2")</f>
        <v>Pld2</v>
      </c>
    </row>
    <row r="7" spans="1:6" x14ac:dyDescent="0.25">
      <c r="A7" t="s">
        <v>1748</v>
      </c>
      <c r="B7" t="s">
        <v>45</v>
      </c>
      <c r="C7" s="26">
        <v>-4.4480000000000004</v>
      </c>
      <c r="D7" s="22">
        <v>3.7269999999999999</v>
      </c>
      <c r="E7" s="26">
        <v>-0.52180000000000004</v>
      </c>
      <c r="F7" s="1" t="str">
        <f>HYPERLINK("http://www.ncbi.nlm.nih.gov/pubmed/?term=Adcy2","Adcy2")</f>
        <v>Adcy2</v>
      </c>
    </row>
    <row r="8" spans="1:6" x14ac:dyDescent="0.25">
      <c r="A8" t="s">
        <v>1941</v>
      </c>
      <c r="B8" t="s">
        <v>40</v>
      </c>
      <c r="C8" s="26">
        <v>-4.2069999999999999</v>
      </c>
      <c r="D8" s="18">
        <v>3.33</v>
      </c>
      <c r="E8" s="23">
        <v>2.3940000000000001</v>
      </c>
      <c r="F8" s="1" t="str">
        <f>HYPERLINK("http://www.ncbi.nlm.nih.gov/pubmed/?term=Adcy5","Adcy5")</f>
        <v>Adcy5</v>
      </c>
    </row>
    <row r="9" spans="1:6" x14ac:dyDescent="0.25">
      <c r="A9" t="s">
        <v>1281</v>
      </c>
      <c r="B9" t="s">
        <v>41</v>
      </c>
      <c r="C9" s="23">
        <v>2.4159999999999999</v>
      </c>
      <c r="D9" s="22">
        <v>3.5110000000000001</v>
      </c>
      <c r="E9" s="18">
        <v>2.5619999999999998</v>
      </c>
      <c r="F9" s="1" t="str">
        <f>HYPERLINK("http://www.ncbi.nlm.nih.gov/pubmed/?term=Adcy6","Adcy6")</f>
        <v>Adcy6</v>
      </c>
    </row>
    <row r="10" spans="1:6" x14ac:dyDescent="0.25">
      <c r="A10" t="s">
        <v>730</v>
      </c>
      <c r="B10" t="s">
        <v>777</v>
      </c>
      <c r="C10" s="23">
        <v>2.1339999999999999</v>
      </c>
      <c r="D10" s="33">
        <v>4.7649999999999997</v>
      </c>
      <c r="E10" s="18">
        <v>2.6150000000000002</v>
      </c>
      <c r="F10" s="1" t="str">
        <f>HYPERLINK("http://www.ncbi.nlm.nih.gov/pubmed/?term=Itpr2","Itpr2")</f>
        <v>Itpr2</v>
      </c>
    </row>
    <row r="11" spans="1:6" x14ac:dyDescent="0.25">
      <c r="A11" t="s">
        <v>1169</v>
      </c>
      <c r="B11" t="s">
        <v>62</v>
      </c>
      <c r="C11" s="26">
        <v>-2.363</v>
      </c>
      <c r="D11" s="45">
        <v>5.6109999999999998</v>
      </c>
      <c r="E11" s="33">
        <v>5.3639999999999999</v>
      </c>
      <c r="F11" s="1" t="str">
        <f>HYPERLINK("http://www.ncbi.nlm.nih.gov/pubmed/?term=Calm4","Calm4")</f>
        <v>Calm4</v>
      </c>
    </row>
    <row r="12" spans="1:6" x14ac:dyDescent="0.25">
      <c r="A12" t="s">
        <v>1212</v>
      </c>
      <c r="B12" t="s">
        <v>1935</v>
      </c>
      <c r="C12" s="26">
        <v>-0.58730000000000004</v>
      </c>
      <c r="D12" s="45">
        <v>6.1760000000000002</v>
      </c>
      <c r="E12" s="18">
        <v>2.665</v>
      </c>
      <c r="F12" s="1" t="str">
        <f>HYPERLINK("http://www.ncbi.nlm.nih.gov/pubmed/?term=Plcb2","Plcb2")</f>
        <v>Plcb2</v>
      </c>
    </row>
    <row r="13" spans="1:6" x14ac:dyDescent="0.25">
      <c r="A13" t="s">
        <v>1382</v>
      </c>
      <c r="B13" t="s">
        <v>440</v>
      </c>
      <c r="C13" s="26">
        <v>-1.218</v>
      </c>
      <c r="D13" s="22">
        <v>3.7610000000000001</v>
      </c>
      <c r="E13" s="18">
        <v>3.367</v>
      </c>
      <c r="F13" s="1" t="str">
        <f>HYPERLINK("http://www.ncbi.nlm.nih.gov/pubmed/?term=Camk2b","Camk2b")</f>
        <v>Camk2b</v>
      </c>
    </row>
    <row r="14" spans="1:6" x14ac:dyDescent="0.25">
      <c r="A14" t="s">
        <v>468</v>
      </c>
      <c r="B14" t="s">
        <v>596</v>
      </c>
      <c r="C14" s="23">
        <v>2.3919999999999999</v>
      </c>
      <c r="D14" s="18">
        <v>2.726</v>
      </c>
      <c r="E14" s="33">
        <v>4.7569999999999997</v>
      </c>
      <c r="F14" s="1" t="str">
        <f>HYPERLINK("http://www.ncbi.nlm.nih.gov/pubmed/?term=Map3k1","Map3k1")</f>
        <v>Map3k1</v>
      </c>
    </row>
    <row r="15" spans="1:6" x14ac:dyDescent="0.25">
      <c r="A15" t="s">
        <v>2023</v>
      </c>
      <c r="B15" t="s">
        <v>897</v>
      </c>
      <c r="C15" s="22">
        <v>4.37</v>
      </c>
      <c r="D15" s="33">
        <v>5.0970000000000004</v>
      </c>
      <c r="E15" s="33">
        <v>5.4119999999999999</v>
      </c>
      <c r="F15" s="1" t="str">
        <f>HYPERLINK("http://www.ncbi.nlm.nih.gov/pubmed/?term=Hras1","Hras1")</f>
        <v>Hras1</v>
      </c>
    </row>
    <row r="16" spans="1:6" x14ac:dyDescent="0.25">
      <c r="A16" t="s">
        <v>1958</v>
      </c>
      <c r="B16" t="s">
        <v>1965</v>
      </c>
      <c r="C16" s="33">
        <v>4.9290000000000003</v>
      </c>
      <c r="D16" s="33">
        <v>5.2320000000000002</v>
      </c>
      <c r="E16" s="45">
        <v>6.2359999999999998</v>
      </c>
      <c r="F16" s="1" t="str">
        <f>HYPERLINK("http://www.ncbi.nlm.nih.gov/pubmed/?term=Src","Src")</f>
        <v>Src</v>
      </c>
    </row>
    <row r="17" spans="1:6" x14ac:dyDescent="0.25">
      <c r="A17" t="s">
        <v>1474</v>
      </c>
      <c r="B17" t="s">
        <v>1976</v>
      </c>
      <c r="C17" s="22">
        <v>3.9710000000000001</v>
      </c>
      <c r="D17" s="33">
        <v>4.7439999999999998</v>
      </c>
      <c r="E17" s="2">
        <v>6.95</v>
      </c>
      <c r="F17" s="1" t="str">
        <f>HYPERLINK("http://www.ncbi.nlm.nih.gov/pubmed/?term=Pld1","Pld1")</f>
        <v>Pld1</v>
      </c>
    </row>
    <row r="18" spans="1:6" x14ac:dyDescent="0.25">
      <c r="A18" t="s">
        <v>909</v>
      </c>
      <c r="B18" t="s">
        <v>1766</v>
      </c>
      <c r="C18" s="13">
        <v>1.18</v>
      </c>
      <c r="D18" s="22">
        <v>4.4390000000000001</v>
      </c>
      <c r="E18" s="45">
        <v>6.1040000000000001</v>
      </c>
      <c r="F18" s="1" t="str">
        <f>HYPERLINK("http://www.ncbi.nlm.nih.gov/pubmed/?term=Pla2g4a","Pla2g4a")</f>
        <v>Pla2g4a</v>
      </c>
    </row>
    <row r="19" spans="1:6" x14ac:dyDescent="0.25">
      <c r="A19" t="s">
        <v>1336</v>
      </c>
      <c r="B19" t="s">
        <v>895</v>
      </c>
      <c r="C19" s="13">
        <v>0.75729999999999997</v>
      </c>
      <c r="D19" s="22">
        <v>4.1239999999999997</v>
      </c>
      <c r="E19" s="2">
        <v>7.1379999999999999</v>
      </c>
      <c r="F19" s="1" t="str">
        <f>HYPERLINK("http://www.ncbi.nlm.nih.gov/pubmed/?term=Ptk2b","Ptk2b")</f>
        <v>Ptk2b</v>
      </c>
    </row>
    <row r="20" spans="1:6" x14ac:dyDescent="0.25">
      <c r="A20" t="s">
        <v>2124</v>
      </c>
      <c r="B20" t="s">
        <v>2188</v>
      </c>
      <c r="C20" s="26">
        <v>-1.919</v>
      </c>
      <c r="D20" s="45">
        <v>5.5629999999999997</v>
      </c>
      <c r="E20" s="45">
        <v>5.6420000000000003</v>
      </c>
      <c r="F20" s="1" t="str">
        <f>HYPERLINK("http://www.ncbi.nlm.nih.gov/pubmed/?term=Calml3","Calml3")</f>
        <v>Calml3</v>
      </c>
    </row>
    <row r="21" spans="1:6" x14ac:dyDescent="0.25">
      <c r="A21" t="s">
        <v>890</v>
      </c>
      <c r="B21" t="s">
        <v>105</v>
      </c>
      <c r="C21" s="45">
        <v>6.4630000000000001</v>
      </c>
      <c r="D21" s="2">
        <v>6.6230000000000002</v>
      </c>
      <c r="E21" s="33">
        <v>5.4939999999999998</v>
      </c>
      <c r="F21" s="1" t="str">
        <f>HYPERLINK("http://www.ncbi.nlm.nih.gov/pubmed/?term=Mmp14","Mmp14")</f>
        <v>Mmp14</v>
      </c>
    </row>
    <row r="22" spans="1:6" x14ac:dyDescent="0.25">
      <c r="A22" t="s">
        <v>1334</v>
      </c>
      <c r="B22" t="s">
        <v>5</v>
      </c>
      <c r="C22" s="18">
        <v>3.4769999999999999</v>
      </c>
      <c r="D22" s="22">
        <v>3.6840000000000002</v>
      </c>
      <c r="E22" s="18">
        <v>2.5219999999999998</v>
      </c>
      <c r="F22" s="1" t="str">
        <f>HYPERLINK("http://www.ncbi.nlm.nih.gov/pubmed/?term=Sos1","Sos1")</f>
        <v>Sos1</v>
      </c>
    </row>
    <row r="23" spans="1:6" x14ac:dyDescent="0.25">
      <c r="A23" t="s">
        <v>686</v>
      </c>
      <c r="B23" t="s">
        <v>593</v>
      </c>
      <c r="C23" s="43">
        <v>7.6289999999999996</v>
      </c>
      <c r="D23" s="43">
        <v>8.4730000000000008</v>
      </c>
      <c r="E23" s="2">
        <v>7.0110000000000001</v>
      </c>
      <c r="F23" s="1" t="str">
        <f>HYPERLINK("http://www.ncbi.nlm.nih.gov/pubmed/?term=Calm2","Calm2")</f>
        <v>Calm2</v>
      </c>
    </row>
    <row r="24" spans="1:6" x14ac:dyDescent="0.25">
      <c r="A24" t="s">
        <v>1884</v>
      </c>
      <c r="B24" t="s">
        <v>2000</v>
      </c>
      <c r="C24" s="43">
        <v>8.7729999999999997</v>
      </c>
      <c r="D24" s="43">
        <v>9.0190000000000001</v>
      </c>
      <c r="E24" s="2">
        <v>7.4089999999999998</v>
      </c>
      <c r="F24" s="1" t="str">
        <f>HYPERLINK("http://www.ncbi.nlm.nih.gov/pubmed/?term=Jun","Jun")</f>
        <v>Jun</v>
      </c>
    </row>
    <row r="25" spans="1:6" x14ac:dyDescent="0.25">
      <c r="A25" t="s">
        <v>651</v>
      </c>
      <c r="B25" t="s">
        <v>438</v>
      </c>
      <c r="C25" s="18">
        <v>3.008</v>
      </c>
      <c r="D25" s="22">
        <v>4.3090000000000002</v>
      </c>
      <c r="E25" s="23">
        <v>2.335</v>
      </c>
      <c r="F25" s="1" t="str">
        <f>HYPERLINK("http://www.ncbi.nlm.nih.gov/pubmed/?term=Camk2d","Camk2d")</f>
        <v>Camk2d</v>
      </c>
    </row>
    <row r="26" spans="1:6" x14ac:dyDescent="0.25">
      <c r="A26" t="s">
        <v>1143</v>
      </c>
      <c r="B26" t="s">
        <v>595</v>
      </c>
      <c r="C26" s="2">
        <v>6.7370000000000001</v>
      </c>
      <c r="D26" s="45">
        <v>6.1340000000000003</v>
      </c>
      <c r="E26" s="45">
        <v>5.6020000000000003</v>
      </c>
      <c r="F26" s="1" t="str">
        <f>HYPERLINK("http://www.ncbi.nlm.nih.gov/pubmed/?term=Calm1","Calm1")</f>
        <v>Calm1</v>
      </c>
    </row>
    <row r="27" spans="1:6" x14ac:dyDescent="0.25">
      <c r="A27" t="s">
        <v>1506</v>
      </c>
      <c r="B27" t="s">
        <v>1331</v>
      </c>
      <c r="C27" s="33">
        <v>4.74</v>
      </c>
      <c r="D27" s="22">
        <v>3.9580000000000002</v>
      </c>
      <c r="E27" s="18">
        <v>2.786</v>
      </c>
      <c r="F27" s="1" t="str">
        <f>HYPERLINK("http://www.ncbi.nlm.nih.gov/pubmed/?term=Prkacb","Prkacb")</f>
        <v>Prkacb</v>
      </c>
    </row>
    <row r="28" spans="1:6" x14ac:dyDescent="0.25">
      <c r="A28" t="s">
        <v>2153</v>
      </c>
      <c r="B28" t="s">
        <v>597</v>
      </c>
      <c r="C28" s="22">
        <v>3.9540000000000002</v>
      </c>
      <c r="D28" s="22">
        <v>3.7280000000000002</v>
      </c>
      <c r="E28" s="18">
        <v>2.7639999999999998</v>
      </c>
      <c r="F28" s="1" t="str">
        <f>HYPERLINK("http://www.ncbi.nlm.nih.gov/pubmed/?term=Map3k4","Map3k4")</f>
        <v>Map3k4</v>
      </c>
    </row>
    <row r="29" spans="1:6" x14ac:dyDescent="0.25">
      <c r="A29" t="s">
        <v>1444</v>
      </c>
      <c r="B29" t="s">
        <v>1417</v>
      </c>
      <c r="C29" s="33">
        <v>4.7190000000000003</v>
      </c>
      <c r="D29" s="22">
        <v>4.1989999999999998</v>
      </c>
      <c r="E29" s="18">
        <v>2.794</v>
      </c>
      <c r="F29" s="1" t="str">
        <f>HYPERLINK("http://www.ncbi.nlm.nih.gov/pubmed/?term=Egfr","Egfr")</f>
        <v>Egfr</v>
      </c>
    </row>
    <row r="30" spans="1:6" x14ac:dyDescent="0.25">
      <c r="A30" t="s">
        <v>31</v>
      </c>
      <c r="B30" t="s">
        <v>400</v>
      </c>
      <c r="C30" s="22">
        <v>4.476</v>
      </c>
      <c r="D30" s="22">
        <v>3.5920000000000001</v>
      </c>
      <c r="E30" s="18">
        <v>3.4319999999999999</v>
      </c>
      <c r="F30" s="1" t="str">
        <f>HYPERLINK("http://www.ncbi.nlm.nih.gov/pubmed/?term=Mapk9","Mapk9")</f>
        <v>Mapk9</v>
      </c>
    </row>
    <row r="31" spans="1:6" x14ac:dyDescent="0.25">
      <c r="A31" t="s">
        <v>2079</v>
      </c>
      <c r="B31" t="s">
        <v>439</v>
      </c>
      <c r="C31" s="22">
        <v>4.1420000000000003</v>
      </c>
      <c r="D31" s="18">
        <v>3.1230000000000002</v>
      </c>
      <c r="E31" s="18">
        <v>2.609</v>
      </c>
      <c r="F31" s="1" t="str">
        <f>HYPERLINK("http://www.ncbi.nlm.nih.gov/pubmed/?term=Camk2g","Camk2g")</f>
        <v>Camk2g</v>
      </c>
    </row>
    <row r="32" spans="1:6" x14ac:dyDescent="0.25">
      <c r="A32" t="s">
        <v>834</v>
      </c>
      <c r="B32" t="s">
        <v>1552</v>
      </c>
      <c r="C32" s="33">
        <v>4.516</v>
      </c>
      <c r="D32" s="22">
        <v>3.7549999999999999</v>
      </c>
      <c r="E32" s="18">
        <v>3.4649999999999999</v>
      </c>
      <c r="F32" s="1" t="str">
        <f>HYPERLINK("http://www.ncbi.nlm.nih.gov/pubmed/?term=Mapk8","Mapk8")</f>
        <v>Mapk8</v>
      </c>
    </row>
    <row r="33" spans="1:6" x14ac:dyDescent="0.25">
      <c r="A33" t="s">
        <v>49</v>
      </c>
      <c r="B33" t="s">
        <v>1564</v>
      </c>
      <c r="C33" s="33">
        <v>4.6529999999999996</v>
      </c>
      <c r="D33" s="22">
        <v>3.782</v>
      </c>
      <c r="E33" s="23">
        <v>2.4590000000000001</v>
      </c>
      <c r="F33" s="1" t="str">
        <f>HYPERLINK("http://www.ncbi.nlm.nih.gov/pubmed/?term=Gnaq","Gnaq")</f>
        <v>Gnaq</v>
      </c>
    </row>
    <row r="34" spans="1:6" x14ac:dyDescent="0.25">
      <c r="A34" t="s">
        <v>243</v>
      </c>
      <c r="B34" t="s">
        <v>659</v>
      </c>
      <c r="C34" s="45">
        <v>6.2309999999999999</v>
      </c>
      <c r="D34" s="18">
        <v>3.367</v>
      </c>
      <c r="E34" s="26">
        <v>-0.86029999999999995</v>
      </c>
      <c r="F34" s="1" t="str">
        <f>HYPERLINK("http://www.ncbi.nlm.nih.gov/pubmed/?term=Mmp2","Mmp2")</f>
        <v>Mmp2</v>
      </c>
    </row>
    <row r="35" spans="1:6" x14ac:dyDescent="0.25">
      <c r="A35" t="s">
        <v>1620</v>
      </c>
      <c r="B35" t="s">
        <v>1646</v>
      </c>
      <c r="C35" s="22">
        <v>4.484</v>
      </c>
      <c r="D35" s="22">
        <v>3.6629999999999998</v>
      </c>
      <c r="E35" s="18">
        <v>2.92</v>
      </c>
      <c r="F35" s="1" t="str">
        <f>HYPERLINK("http://www.ncbi.nlm.nih.gov/pubmed/?term=Map2k4","Map2k4")</f>
        <v>Map2k4</v>
      </c>
    </row>
    <row r="36" spans="1:6" x14ac:dyDescent="0.25">
      <c r="A36" t="s">
        <v>2036</v>
      </c>
      <c r="B36" t="s">
        <v>1574</v>
      </c>
      <c r="C36" s="33">
        <v>4.6079999999999997</v>
      </c>
      <c r="D36" s="22">
        <v>3.7130000000000001</v>
      </c>
      <c r="E36" s="18">
        <v>2.661</v>
      </c>
      <c r="F36" s="1" t="str">
        <f>HYPERLINK("http://www.ncbi.nlm.nih.gov/pubmed/?term=Gna11","Gna11")</f>
        <v>Gna11</v>
      </c>
    </row>
    <row r="37" spans="1:6" x14ac:dyDescent="0.25">
      <c r="A37" t="s">
        <v>1902</v>
      </c>
      <c r="B37" t="s">
        <v>292</v>
      </c>
      <c r="C37" s="33">
        <v>5.4859999999999998</v>
      </c>
      <c r="D37" s="33">
        <v>5.1769999999999996</v>
      </c>
      <c r="E37" s="22">
        <v>4.3440000000000003</v>
      </c>
      <c r="F37" s="1" t="str">
        <f>HYPERLINK("http://www.ncbi.nlm.nih.gov/pubmed/?term=Mapk14","Mapk14")</f>
        <v>Mapk14</v>
      </c>
    </row>
    <row r="38" spans="1:6" x14ac:dyDescent="0.25">
      <c r="A38" t="s">
        <v>482</v>
      </c>
      <c r="B38" t="s">
        <v>44</v>
      </c>
      <c r="C38" s="26">
        <v>7.9680000000000001E-2</v>
      </c>
      <c r="D38" s="26">
        <v>-0.70120000000000005</v>
      </c>
      <c r="E38" s="22">
        <v>3.97</v>
      </c>
      <c r="F38" s="1" t="str">
        <f>HYPERLINK("http://www.ncbi.nlm.nih.gov/pubmed/?term=Adcy1","Adcy1")</f>
        <v>Adcy1</v>
      </c>
    </row>
    <row r="39" spans="1:6" x14ac:dyDescent="0.25">
      <c r="A39" t="s">
        <v>973</v>
      </c>
      <c r="B39" t="s">
        <v>1936</v>
      </c>
      <c r="C39" s="33">
        <v>4.9489999999999998</v>
      </c>
      <c r="D39" s="22">
        <v>4.2130000000000001</v>
      </c>
      <c r="E39" s="45">
        <v>5.6050000000000004</v>
      </c>
      <c r="F39" s="1" t="str">
        <f>HYPERLINK("http://www.ncbi.nlm.nih.gov/pubmed/?term=Plcb4","Plcb4")</f>
        <v>Plcb4</v>
      </c>
    </row>
    <row r="40" spans="1:6" x14ac:dyDescent="0.25">
      <c r="A40" t="s">
        <v>1880</v>
      </c>
      <c r="B40" t="s">
        <v>1077</v>
      </c>
      <c r="C40" s="22">
        <v>3.6549999999999998</v>
      </c>
      <c r="D40" s="18">
        <v>3.3140000000000001</v>
      </c>
      <c r="E40" s="45">
        <v>6.2270000000000003</v>
      </c>
      <c r="F40" s="1" t="str">
        <f>HYPERLINK("http://www.ncbi.nlm.nih.gov/pubmed/?term=Prkca","Prkca")</f>
        <v>Prkca</v>
      </c>
    </row>
    <row r="41" spans="1:6" x14ac:dyDescent="0.25">
      <c r="A41" t="s">
        <v>159</v>
      </c>
      <c r="B41" t="s">
        <v>1644</v>
      </c>
      <c r="C41" s="2">
        <v>6.5579999999999998</v>
      </c>
      <c r="D41" s="33">
        <v>4.7640000000000002</v>
      </c>
      <c r="E41" s="33">
        <v>5.4039999999999999</v>
      </c>
      <c r="F41" s="1" t="str">
        <f>HYPERLINK("http://www.ncbi.nlm.nih.gov/pubmed/?term=Map2k1","Map2k1")</f>
        <v>Map2k1</v>
      </c>
    </row>
    <row r="42" spans="1:6" x14ac:dyDescent="0.25">
      <c r="A42" t="s">
        <v>1907</v>
      </c>
      <c r="B42" t="s">
        <v>594</v>
      </c>
      <c r="C42" s="2">
        <v>6.91</v>
      </c>
      <c r="D42" s="45">
        <v>6.0519999999999996</v>
      </c>
      <c r="E42" s="45">
        <v>6.492</v>
      </c>
      <c r="F42" s="1" t="str">
        <f>HYPERLINK("http://www.ncbi.nlm.nih.gov/pubmed/?term=Calm3","Calm3")</f>
        <v>Calm3</v>
      </c>
    </row>
    <row r="43" spans="1:6" x14ac:dyDescent="0.25">
      <c r="A43" t="s">
        <v>1967</v>
      </c>
      <c r="B43" t="s">
        <v>898</v>
      </c>
      <c r="C43" s="33">
        <v>5.2279999999999998</v>
      </c>
      <c r="D43" s="22">
        <v>3.9319999999999999</v>
      </c>
      <c r="E43" s="22">
        <v>4.4470000000000001</v>
      </c>
      <c r="F43" s="1" t="str">
        <f>HYPERLINK("http://www.ncbi.nlm.nih.gov/pubmed/?term=Kras","Kras")</f>
        <v>Kras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1424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1169</v>
      </c>
      <c r="B5" t="s">
        <v>62</v>
      </c>
      <c r="C5" s="26">
        <v>-2.363</v>
      </c>
      <c r="D5" s="28">
        <v>5.6109999999999998</v>
      </c>
      <c r="E5" s="27">
        <v>5.3639999999999999</v>
      </c>
      <c r="F5" s="1" t="str">
        <f>HYPERLINK("http://www.ncbi.nlm.nih.gov/pubmed/?term=Calm4","Calm4")</f>
        <v>Calm4</v>
      </c>
    </row>
    <row r="6" spans="1:6" x14ac:dyDescent="0.25">
      <c r="A6" t="s">
        <v>1955</v>
      </c>
      <c r="B6" t="s">
        <v>459</v>
      </c>
      <c r="C6" s="47">
        <v>2.879</v>
      </c>
      <c r="D6" s="27">
        <v>4.8049999999999997</v>
      </c>
      <c r="E6" s="42">
        <v>4.1870000000000003</v>
      </c>
      <c r="F6" s="1" t="str">
        <f>HYPERLINK("http://www.ncbi.nlm.nih.gov/pubmed/?term=Hk1","Hk1")</f>
        <v>Hk1</v>
      </c>
    </row>
    <row r="7" spans="1:6" x14ac:dyDescent="0.25">
      <c r="A7" t="s">
        <v>366</v>
      </c>
      <c r="B7" t="s">
        <v>483</v>
      </c>
      <c r="C7" s="47">
        <v>3.0409999999999999</v>
      </c>
      <c r="D7" s="47">
        <v>3.34</v>
      </c>
      <c r="E7" s="27">
        <v>4.9909999999999997</v>
      </c>
      <c r="F7" s="1" t="str">
        <f>HYPERLINK("http://www.ncbi.nlm.nih.gov/pubmed/?term=Insr","Insr")</f>
        <v>Insr</v>
      </c>
    </row>
    <row r="8" spans="1:6" x14ac:dyDescent="0.25">
      <c r="A8" t="s">
        <v>2</v>
      </c>
      <c r="B8" t="s">
        <v>1731</v>
      </c>
      <c r="C8" s="27">
        <v>4.9000000000000004</v>
      </c>
      <c r="D8" s="27">
        <v>5.2220000000000004</v>
      </c>
      <c r="E8" s="28">
        <v>6.2359999999999998</v>
      </c>
      <c r="F8" s="1" t="str">
        <f>HYPERLINK("http://www.ncbi.nlm.nih.gov/pubmed/?term=Mknk2","Mknk2")</f>
        <v>Mknk2</v>
      </c>
    </row>
    <row r="9" spans="1:6" x14ac:dyDescent="0.25">
      <c r="A9" t="s">
        <v>2023</v>
      </c>
      <c r="B9" t="s">
        <v>897</v>
      </c>
      <c r="C9" s="42">
        <v>4.37</v>
      </c>
      <c r="D9" s="27">
        <v>5.0970000000000004</v>
      </c>
      <c r="E9" s="27">
        <v>5.4119999999999999</v>
      </c>
      <c r="F9" s="1" t="str">
        <f>HYPERLINK("http://www.ncbi.nlm.nih.gov/pubmed/?term=Hras1","Hras1")</f>
        <v>Hras1</v>
      </c>
    </row>
    <row r="10" spans="1:6" x14ac:dyDescent="0.25">
      <c r="A10" t="s">
        <v>338</v>
      </c>
      <c r="B10" t="s">
        <v>573</v>
      </c>
      <c r="C10" s="26">
        <v>-2.6819999999999999</v>
      </c>
      <c r="D10" s="26">
        <v>-0.14799999999999999</v>
      </c>
      <c r="E10" s="27">
        <v>4.702</v>
      </c>
      <c r="F10" s="1" t="str">
        <f>HYPERLINK("http://www.ncbi.nlm.nih.gov/pubmed/?term=Pck1","Pck1")</f>
        <v>Pck1</v>
      </c>
    </row>
    <row r="11" spans="1:6" x14ac:dyDescent="0.25">
      <c r="A11" t="s">
        <v>841</v>
      </c>
      <c r="B11" t="s">
        <v>1521</v>
      </c>
      <c r="C11" s="42">
        <v>4.1059999999999999</v>
      </c>
      <c r="D11" s="27">
        <v>5.2510000000000003</v>
      </c>
      <c r="E11" s="28">
        <v>6.45</v>
      </c>
      <c r="F11" s="1" t="str">
        <f>HYPERLINK("http://www.ncbi.nlm.nih.gov/pubmed/?term=Ptpn1","Ptpn1")</f>
        <v>Ptpn1</v>
      </c>
    </row>
    <row r="12" spans="1:6" x14ac:dyDescent="0.25">
      <c r="A12" t="s">
        <v>893</v>
      </c>
      <c r="B12" t="s">
        <v>1850</v>
      </c>
      <c r="C12" s="47">
        <v>3.1309999999999998</v>
      </c>
      <c r="D12" s="42">
        <v>3.7570000000000001</v>
      </c>
      <c r="E12" s="42">
        <v>4.1159999999999997</v>
      </c>
      <c r="F12" s="1" t="str">
        <f>HYPERLINK("http://www.ncbi.nlm.nih.gov/pubmed/?term=Phkg2","Phkg2")</f>
        <v>Phkg2</v>
      </c>
    </row>
    <row r="13" spans="1:6" x14ac:dyDescent="0.25">
      <c r="A13" t="s">
        <v>1352</v>
      </c>
      <c r="B13" t="s">
        <v>2160</v>
      </c>
      <c r="C13" s="27">
        <v>4.5460000000000003</v>
      </c>
      <c r="D13" s="27">
        <v>4.9820000000000002</v>
      </c>
      <c r="E13" s="28">
        <v>6.2560000000000002</v>
      </c>
      <c r="F13" s="1" t="str">
        <f>HYPERLINK("http://www.ncbi.nlm.nih.gov/pubmed/?term=Ikbkb","Ikbkb")</f>
        <v>Ikbkb</v>
      </c>
    </row>
    <row r="14" spans="1:6" x14ac:dyDescent="0.25">
      <c r="A14" t="s">
        <v>333</v>
      </c>
      <c r="B14" t="s">
        <v>1460</v>
      </c>
      <c r="C14" s="26">
        <v>0.44829999999999998</v>
      </c>
      <c r="D14" s="36">
        <v>2.1360000000000001</v>
      </c>
      <c r="E14" s="42">
        <v>3.8809999999999998</v>
      </c>
      <c r="F14" s="1" t="str">
        <f>HYPERLINK("http://www.ncbi.nlm.nih.gov/pubmed/?term=Pik3cb","Pik3cb")</f>
        <v>Pik3cb</v>
      </c>
    </row>
    <row r="15" spans="1:6" x14ac:dyDescent="0.25">
      <c r="A15" t="s">
        <v>1374</v>
      </c>
      <c r="B15" t="s">
        <v>1563</v>
      </c>
      <c r="C15" s="42">
        <v>4.0599999999999996</v>
      </c>
      <c r="D15" s="27">
        <v>4.5129999999999999</v>
      </c>
      <c r="E15" s="27">
        <v>5.383</v>
      </c>
      <c r="F15" s="1" t="str">
        <f>HYPERLINK("http://www.ncbi.nlm.nih.gov/pubmed/?term=Socs1","Socs1")</f>
        <v>Socs1</v>
      </c>
    </row>
    <row r="16" spans="1:6" x14ac:dyDescent="0.25">
      <c r="A16" t="s">
        <v>635</v>
      </c>
      <c r="B16" t="s">
        <v>942</v>
      </c>
      <c r="C16" s="26">
        <v>-2.0369999999999999</v>
      </c>
      <c r="D16" s="47">
        <v>3.0670000000000002</v>
      </c>
      <c r="E16" s="27">
        <v>5.0910000000000002</v>
      </c>
      <c r="F16" s="1" t="str">
        <f>HYPERLINK("http://www.ncbi.nlm.nih.gov/pubmed/?term=Acacb","Acacb")</f>
        <v>Acacb</v>
      </c>
    </row>
    <row r="17" spans="1:6" x14ac:dyDescent="0.25">
      <c r="A17" t="s">
        <v>2124</v>
      </c>
      <c r="B17" t="s">
        <v>2188</v>
      </c>
      <c r="C17" s="26">
        <v>-1.919</v>
      </c>
      <c r="D17" s="28">
        <v>5.5629999999999997</v>
      </c>
      <c r="E17" s="28">
        <v>5.6420000000000003</v>
      </c>
      <c r="F17" s="1" t="str">
        <f>HYPERLINK("http://www.ncbi.nlm.nih.gov/pubmed/?term=Calml3","Calml3")</f>
        <v>Calml3</v>
      </c>
    </row>
    <row r="18" spans="1:6" x14ac:dyDescent="0.25">
      <c r="A18" t="s">
        <v>13</v>
      </c>
      <c r="B18" t="s">
        <v>317</v>
      </c>
      <c r="C18" s="42">
        <v>4.2210000000000001</v>
      </c>
      <c r="D18" s="42">
        <v>4.2939999999999996</v>
      </c>
      <c r="E18" s="47">
        <v>2.9220000000000002</v>
      </c>
      <c r="F18" s="1" t="str">
        <f>HYPERLINK("http://www.ncbi.nlm.nih.gov/pubmed/?term=Trip10","Trip10")</f>
        <v>Trip10</v>
      </c>
    </row>
    <row r="19" spans="1:6" x14ac:dyDescent="0.25">
      <c r="A19" t="s">
        <v>1472</v>
      </c>
      <c r="B19" t="s">
        <v>1283</v>
      </c>
      <c r="C19" s="28">
        <v>5.843</v>
      </c>
      <c r="D19" s="28">
        <v>6.17</v>
      </c>
      <c r="E19" s="42">
        <v>4.2889999999999997</v>
      </c>
      <c r="F19" s="1" t="str">
        <f>HYPERLINK("http://www.ncbi.nlm.nih.gov/pubmed/?term=Ptprf","Ptprf")</f>
        <v>Ptprf</v>
      </c>
    </row>
    <row r="20" spans="1:6" x14ac:dyDescent="0.25">
      <c r="A20" t="s">
        <v>686</v>
      </c>
      <c r="B20" t="s">
        <v>593</v>
      </c>
      <c r="C20" s="43">
        <v>7.6289999999999996</v>
      </c>
      <c r="D20" s="43">
        <v>8.4730000000000008</v>
      </c>
      <c r="E20" s="43">
        <v>7.0110000000000001</v>
      </c>
      <c r="F20" s="1" t="str">
        <f>HYPERLINK("http://www.ncbi.nlm.nih.gov/pubmed/?term=Calm2","Calm2")</f>
        <v>Calm2</v>
      </c>
    </row>
    <row r="21" spans="1:6" x14ac:dyDescent="0.25">
      <c r="A21" t="s">
        <v>1143</v>
      </c>
      <c r="B21" t="s">
        <v>595</v>
      </c>
      <c r="C21" s="43">
        <v>6.7370000000000001</v>
      </c>
      <c r="D21" s="28">
        <v>6.1340000000000003</v>
      </c>
      <c r="E21" s="28">
        <v>5.6020000000000003</v>
      </c>
      <c r="F21" s="1" t="str">
        <f>HYPERLINK("http://www.ncbi.nlm.nih.gov/pubmed/?term=Calm1","Calm1")</f>
        <v>Calm1</v>
      </c>
    </row>
    <row r="22" spans="1:6" x14ac:dyDescent="0.25">
      <c r="A22" t="s">
        <v>1506</v>
      </c>
      <c r="B22" t="s">
        <v>1331</v>
      </c>
      <c r="C22" s="27">
        <v>4.74</v>
      </c>
      <c r="D22" s="42">
        <v>3.9580000000000002</v>
      </c>
      <c r="E22" s="47">
        <v>2.786</v>
      </c>
      <c r="F22" s="1" t="str">
        <f>HYPERLINK("http://www.ncbi.nlm.nih.gov/pubmed/?term=Prkacb","Prkacb")</f>
        <v>Prkacb</v>
      </c>
    </row>
    <row r="23" spans="1:6" x14ac:dyDescent="0.25">
      <c r="A23" t="s">
        <v>1733</v>
      </c>
      <c r="B23" t="s">
        <v>1829</v>
      </c>
      <c r="C23" s="42">
        <v>3.9809999999999999</v>
      </c>
      <c r="D23" s="47">
        <v>3.1789999999999998</v>
      </c>
      <c r="E23" s="47">
        <v>2.843</v>
      </c>
      <c r="F23" s="1" t="str">
        <f>HYPERLINK("http://www.ncbi.nlm.nih.gov/pubmed/?term=Crkl","Crkl")</f>
        <v>Crkl</v>
      </c>
    </row>
    <row r="24" spans="1:6" x14ac:dyDescent="0.25">
      <c r="A24" t="s">
        <v>641</v>
      </c>
      <c r="B24" t="s">
        <v>346</v>
      </c>
      <c r="C24" s="28">
        <v>5.5090000000000003</v>
      </c>
      <c r="D24" s="27">
        <v>4.79</v>
      </c>
      <c r="E24" s="42">
        <v>4.3810000000000002</v>
      </c>
      <c r="F24" s="1" t="str">
        <f>HYPERLINK("http://www.ncbi.nlm.nih.gov/pubmed/?term=Crk","Crk")</f>
        <v>Crk</v>
      </c>
    </row>
    <row r="25" spans="1:6" x14ac:dyDescent="0.25">
      <c r="A25" t="s">
        <v>31</v>
      </c>
      <c r="B25" t="s">
        <v>400</v>
      </c>
      <c r="C25" s="42">
        <v>4.476</v>
      </c>
      <c r="D25" s="42">
        <v>3.5920000000000001</v>
      </c>
      <c r="E25" s="47">
        <v>3.4319999999999999</v>
      </c>
      <c r="F25" s="1" t="str">
        <f>HYPERLINK("http://www.ncbi.nlm.nih.gov/pubmed/?term=Mapk9","Mapk9")</f>
        <v>Mapk9</v>
      </c>
    </row>
    <row r="26" spans="1:6" x14ac:dyDescent="0.25">
      <c r="A26" t="s">
        <v>576</v>
      </c>
      <c r="B26" t="s">
        <v>1099</v>
      </c>
      <c r="C26" s="28">
        <v>6.008</v>
      </c>
      <c r="D26" s="27">
        <v>4.5049999999999999</v>
      </c>
      <c r="E26" s="42">
        <v>4.1029999999999998</v>
      </c>
      <c r="F26" s="1" t="str">
        <f>HYPERLINK("http://www.ncbi.nlm.nih.gov/pubmed/?term=Srebf1","Srebf1")</f>
        <v>Srebf1</v>
      </c>
    </row>
    <row r="27" spans="1:6" x14ac:dyDescent="0.25">
      <c r="A27" t="s">
        <v>1108</v>
      </c>
      <c r="B27" t="s">
        <v>358</v>
      </c>
      <c r="C27" s="43">
        <v>7.0309999999999997</v>
      </c>
      <c r="D27" s="28">
        <v>6.1920000000000002</v>
      </c>
      <c r="E27" s="28">
        <v>5.9320000000000004</v>
      </c>
      <c r="F27" s="1" t="str">
        <f>HYPERLINK("http://www.ncbi.nlm.nih.gov/pubmed/?term=Prkar1a","Prkar1a")</f>
        <v>Prkar1a</v>
      </c>
    </row>
    <row r="28" spans="1:6" x14ac:dyDescent="0.25">
      <c r="A28" t="s">
        <v>1842</v>
      </c>
      <c r="B28" t="s">
        <v>491</v>
      </c>
      <c r="C28" s="43">
        <v>8.0150000000000006</v>
      </c>
      <c r="D28" s="27">
        <v>4.5519999999999996</v>
      </c>
      <c r="E28" s="27">
        <v>4.532</v>
      </c>
      <c r="F28" s="1" t="str">
        <f>HYPERLINK("http://www.ncbi.nlm.nih.gov/pubmed/?term=Exoc7","Exoc7")</f>
        <v>Exoc7</v>
      </c>
    </row>
    <row r="29" spans="1:6" x14ac:dyDescent="0.25">
      <c r="A29" t="s">
        <v>834</v>
      </c>
      <c r="B29" t="s">
        <v>1552</v>
      </c>
      <c r="C29" s="27">
        <v>4.516</v>
      </c>
      <c r="D29" s="42">
        <v>3.7549999999999999</v>
      </c>
      <c r="E29" s="47">
        <v>3.4649999999999999</v>
      </c>
      <c r="F29" s="1" t="str">
        <f>HYPERLINK("http://www.ncbi.nlm.nih.gov/pubmed/?term=Mapk8","Mapk8")</f>
        <v>Mapk8</v>
      </c>
    </row>
    <row r="30" spans="1:6" x14ac:dyDescent="0.25">
      <c r="A30" t="s">
        <v>835</v>
      </c>
      <c r="B30" t="s">
        <v>1920</v>
      </c>
      <c r="C30" s="27">
        <v>4.7750000000000004</v>
      </c>
      <c r="D30" s="47">
        <v>3.1059999999999999</v>
      </c>
      <c r="E30" s="26">
        <v>0.2752</v>
      </c>
      <c r="F30" s="1" t="str">
        <f>HYPERLINK("http://www.ncbi.nlm.nih.gov/pubmed/?term=Rhoq","Rhoq")</f>
        <v>Rhoq</v>
      </c>
    </row>
    <row r="31" spans="1:6" x14ac:dyDescent="0.25">
      <c r="A31" t="s">
        <v>1205</v>
      </c>
      <c r="B31" t="s">
        <v>1329</v>
      </c>
      <c r="C31" s="28">
        <v>5.6820000000000004</v>
      </c>
      <c r="D31" s="27">
        <v>5.0220000000000002</v>
      </c>
      <c r="E31" s="27">
        <v>4.7060000000000004</v>
      </c>
      <c r="F31" s="1" t="str">
        <f>HYPERLINK("http://www.ncbi.nlm.nih.gov/pubmed/?term=Pik3r2","Pik3r2")</f>
        <v>Pik3r2</v>
      </c>
    </row>
    <row r="32" spans="1:6" x14ac:dyDescent="0.25">
      <c r="A32" t="s">
        <v>209</v>
      </c>
      <c r="B32" t="s">
        <v>241</v>
      </c>
      <c r="C32" s="28">
        <v>6.2480000000000002</v>
      </c>
      <c r="D32" s="42">
        <v>4.3440000000000003</v>
      </c>
      <c r="E32" s="47">
        <v>3.1989999999999998</v>
      </c>
      <c r="F32" s="1" t="str">
        <f>HYPERLINK("http://www.ncbi.nlm.nih.gov/pubmed/?term=Pygb","Pygb")</f>
        <v>Pygb</v>
      </c>
    </row>
    <row r="33" spans="1:6" x14ac:dyDescent="0.25">
      <c r="A33" t="s">
        <v>866</v>
      </c>
      <c r="B33" t="s">
        <v>1074</v>
      </c>
      <c r="C33" s="28">
        <v>5.6680000000000001</v>
      </c>
      <c r="D33" s="42">
        <v>4.3540000000000001</v>
      </c>
      <c r="E33" s="42">
        <v>3.786</v>
      </c>
      <c r="F33" s="1" t="str">
        <f>HYPERLINK("http://www.ncbi.nlm.nih.gov/pubmed/?term=Prkci","Prkci")</f>
        <v>Prkci</v>
      </c>
    </row>
    <row r="34" spans="1:6" x14ac:dyDescent="0.25">
      <c r="A34" t="s">
        <v>2009</v>
      </c>
      <c r="B34" t="s">
        <v>1150</v>
      </c>
      <c r="C34" s="42">
        <v>4.0460000000000003</v>
      </c>
      <c r="D34" s="36">
        <v>1.992</v>
      </c>
      <c r="E34" s="14">
        <v>0.97629999999999995</v>
      </c>
      <c r="F34" s="1" t="str">
        <f>HYPERLINK("http://www.ncbi.nlm.nih.gov/pubmed/?term=Prkab2","Prkab2")</f>
        <v>Prkab2</v>
      </c>
    </row>
    <row r="35" spans="1:6" x14ac:dyDescent="0.25">
      <c r="A35" t="s">
        <v>4</v>
      </c>
      <c r="B35" t="s">
        <v>1096</v>
      </c>
      <c r="C35" s="27">
        <v>5.1150000000000002</v>
      </c>
      <c r="D35" s="42">
        <v>3.7370000000000001</v>
      </c>
      <c r="E35" s="47">
        <v>3.4209999999999998</v>
      </c>
      <c r="F35" s="1" t="str">
        <f>HYPERLINK("http://www.ncbi.nlm.nih.gov/pubmed/?term=Irs2","Irs2")</f>
        <v>Irs2</v>
      </c>
    </row>
    <row r="36" spans="1:6" x14ac:dyDescent="0.25">
      <c r="A36" t="s">
        <v>731</v>
      </c>
      <c r="B36" t="s">
        <v>1330</v>
      </c>
      <c r="C36" s="27">
        <v>4.9180000000000001</v>
      </c>
      <c r="D36" s="27">
        <v>4.8079999999999998</v>
      </c>
      <c r="E36" s="42">
        <v>3.7410000000000001</v>
      </c>
      <c r="F36" s="1" t="str">
        <f>HYPERLINK("http://www.ncbi.nlm.nih.gov/pubmed/?term=Pik3r1","Pik3r1")</f>
        <v>Pik3r1</v>
      </c>
    </row>
    <row r="37" spans="1:6" x14ac:dyDescent="0.25">
      <c r="A37" t="s">
        <v>1473</v>
      </c>
      <c r="B37" t="s">
        <v>103</v>
      </c>
      <c r="C37" s="42">
        <v>3.7480000000000002</v>
      </c>
      <c r="D37" s="47">
        <v>3.06</v>
      </c>
      <c r="E37" s="36">
        <v>2.0840000000000001</v>
      </c>
      <c r="F37" s="1" t="str">
        <f>HYPERLINK("http://www.ncbi.nlm.nih.gov/pubmed/?term=Foxo1","Foxo1")</f>
        <v>Foxo1</v>
      </c>
    </row>
    <row r="38" spans="1:6" x14ac:dyDescent="0.25">
      <c r="A38" t="s">
        <v>2078</v>
      </c>
      <c r="B38" t="s">
        <v>1565</v>
      </c>
      <c r="C38" s="43">
        <v>7.383</v>
      </c>
      <c r="D38" s="43">
        <v>6.9610000000000003</v>
      </c>
      <c r="E38" s="27">
        <v>5.0860000000000003</v>
      </c>
      <c r="F38" s="1" t="str">
        <f>HYPERLINK("http://www.ncbi.nlm.nih.gov/pubmed/?term=Socs3","Socs3")</f>
        <v>Socs3</v>
      </c>
    </row>
    <row r="39" spans="1:6" x14ac:dyDescent="0.25">
      <c r="A39" t="s">
        <v>1165</v>
      </c>
      <c r="B39" t="s">
        <v>457</v>
      </c>
      <c r="C39" s="14">
        <v>1.4990000000000001</v>
      </c>
      <c r="D39" s="14">
        <v>0.54100000000000004</v>
      </c>
      <c r="E39" s="42">
        <v>3.887</v>
      </c>
      <c r="F39" s="1" t="str">
        <f>HYPERLINK("http://www.ncbi.nlm.nih.gov/pubmed/?term=Hk2","Hk2")</f>
        <v>Hk2</v>
      </c>
    </row>
    <row r="40" spans="1:6" x14ac:dyDescent="0.25">
      <c r="A40" t="s">
        <v>1137</v>
      </c>
      <c r="B40" t="s">
        <v>1662</v>
      </c>
      <c r="C40" s="42">
        <v>4.3550000000000004</v>
      </c>
      <c r="D40" s="42">
        <v>4.165</v>
      </c>
      <c r="E40" s="28">
        <v>6.383</v>
      </c>
      <c r="F40" s="1" t="str">
        <f>HYPERLINK("http://www.ncbi.nlm.nih.gov/pubmed/?term=Rapgef1","Rapgef1")</f>
        <v>Rapgef1</v>
      </c>
    </row>
    <row r="41" spans="1:6" x14ac:dyDescent="0.25">
      <c r="A41" t="s">
        <v>159</v>
      </c>
      <c r="B41" t="s">
        <v>1644</v>
      </c>
      <c r="C41" s="43">
        <v>6.5579999999999998</v>
      </c>
      <c r="D41" s="27">
        <v>4.7640000000000002</v>
      </c>
      <c r="E41" s="27">
        <v>5.4039999999999999</v>
      </c>
      <c r="F41" s="1" t="str">
        <f>HYPERLINK("http://www.ncbi.nlm.nih.gov/pubmed/?term=Map2k1","Map2k1")</f>
        <v>Map2k1</v>
      </c>
    </row>
    <row r="42" spans="1:6" x14ac:dyDescent="0.25">
      <c r="A42" t="s">
        <v>1907</v>
      </c>
      <c r="B42" t="s">
        <v>594</v>
      </c>
      <c r="C42" s="43">
        <v>6.91</v>
      </c>
      <c r="D42" s="28">
        <v>6.0519999999999996</v>
      </c>
      <c r="E42" s="28">
        <v>6.492</v>
      </c>
      <c r="F42" s="1" t="str">
        <f>HYPERLINK("http://www.ncbi.nlm.nih.gov/pubmed/?term=Calm3","Calm3")</f>
        <v>Calm3</v>
      </c>
    </row>
    <row r="43" spans="1:6" x14ac:dyDescent="0.25">
      <c r="A43" t="s">
        <v>619</v>
      </c>
      <c r="B43" t="s">
        <v>1700</v>
      </c>
      <c r="C43" s="28">
        <v>5.9240000000000004</v>
      </c>
      <c r="D43" s="42">
        <v>3.9870000000000001</v>
      </c>
      <c r="E43" s="42">
        <v>4.2160000000000002</v>
      </c>
      <c r="F43" s="1" t="str">
        <f>HYPERLINK("http://www.ncbi.nlm.nih.gov/pubmed/?term=Fasn","Fasn")</f>
        <v>Fasn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42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1470</v>
      </c>
      <c r="B5" t="s">
        <v>1306</v>
      </c>
      <c r="C5" s="26">
        <v>0.16650000000000001</v>
      </c>
      <c r="D5" s="43">
        <v>7.899</v>
      </c>
      <c r="E5" s="27">
        <v>5.085</v>
      </c>
      <c r="F5" s="1" t="str">
        <f>HYPERLINK("http://www.ncbi.nlm.nih.gov/pubmed/?term=Hspb1","Hspb1")</f>
        <v>Hspb1</v>
      </c>
    </row>
    <row r="6" spans="1:6" x14ac:dyDescent="0.25">
      <c r="A6" t="s">
        <v>1098</v>
      </c>
      <c r="B6" t="s">
        <v>929</v>
      </c>
      <c r="C6" s="26">
        <v>-4.3019999999999996</v>
      </c>
      <c r="D6" s="47">
        <v>3.4460000000000002</v>
      </c>
      <c r="E6" s="36">
        <v>2.1880000000000002</v>
      </c>
      <c r="F6" s="1" t="str">
        <f>HYPERLINK("http://www.ncbi.nlm.nih.gov/pubmed/?term=Il10","Il10")</f>
        <v>Il10</v>
      </c>
    </row>
    <row r="7" spans="1:6" x14ac:dyDescent="0.25">
      <c r="A7" t="s">
        <v>2016</v>
      </c>
      <c r="B7" t="s">
        <v>1464</v>
      </c>
      <c r="C7" s="26">
        <v>-0.25159999999999999</v>
      </c>
      <c r="D7" s="27">
        <v>4.952</v>
      </c>
      <c r="E7" s="14">
        <v>0.69540000000000002</v>
      </c>
      <c r="F7" s="1" t="str">
        <f>HYPERLINK("http://www.ncbi.nlm.nih.gov/pubmed/?term=Pik3cg","Pik3cg")</f>
        <v>Pik3cg</v>
      </c>
    </row>
    <row r="8" spans="1:6" x14ac:dyDescent="0.25">
      <c r="A8" t="s">
        <v>1335</v>
      </c>
      <c r="B8" t="s">
        <v>1328</v>
      </c>
      <c r="C8" s="14">
        <v>0.53520000000000001</v>
      </c>
      <c r="D8" s="28">
        <v>5.8090000000000002</v>
      </c>
      <c r="E8" s="47">
        <v>2.5489999999999999</v>
      </c>
      <c r="F8" s="1" t="str">
        <f>HYPERLINK("http://www.ncbi.nlm.nih.gov/pubmed/?term=Pik3r5","Pik3r5")</f>
        <v>Pik3r5</v>
      </c>
    </row>
    <row r="9" spans="1:6" x14ac:dyDescent="0.25">
      <c r="A9" t="s">
        <v>1212</v>
      </c>
      <c r="B9" t="s">
        <v>1935</v>
      </c>
      <c r="C9" s="26">
        <v>-0.58730000000000004</v>
      </c>
      <c r="D9" s="28">
        <v>6.1760000000000002</v>
      </c>
      <c r="E9" s="47">
        <v>2.665</v>
      </c>
      <c r="F9" s="1" t="str">
        <f>HYPERLINK("http://www.ncbi.nlm.nih.gov/pubmed/?term=Plcb2","Plcb2")</f>
        <v>Plcb2</v>
      </c>
    </row>
    <row r="10" spans="1:6" x14ac:dyDescent="0.25">
      <c r="A10" t="s">
        <v>1916</v>
      </c>
      <c r="B10" t="s">
        <v>1196</v>
      </c>
      <c r="C10" s="47">
        <v>2.9420000000000002</v>
      </c>
      <c r="D10" s="43">
        <v>7.4690000000000003</v>
      </c>
      <c r="E10" s="43">
        <v>6.5369999999999999</v>
      </c>
      <c r="F10" s="1" t="str">
        <f>HYPERLINK("http://www.ncbi.nlm.nih.gov/pubmed/?term=Serpinb1a","Serpinb1a")</f>
        <v>Serpinb1a</v>
      </c>
    </row>
    <row r="11" spans="1:6" x14ac:dyDescent="0.25">
      <c r="A11" t="s">
        <v>1173</v>
      </c>
      <c r="B11" t="s">
        <v>1060</v>
      </c>
      <c r="C11" s="26">
        <v>-1.2470000000000001</v>
      </c>
      <c r="D11" s="36">
        <v>2.052</v>
      </c>
      <c r="E11" s="43">
        <v>7.4489999999999998</v>
      </c>
      <c r="F11" s="1" t="str">
        <f>HYPERLINK("http://www.ncbi.nlm.nih.gov/pubmed/?term=Nos2","Nos2")</f>
        <v>Nos2</v>
      </c>
    </row>
    <row r="12" spans="1:6" x14ac:dyDescent="0.25">
      <c r="A12" t="s">
        <v>437</v>
      </c>
      <c r="B12" t="s">
        <v>1271</v>
      </c>
      <c r="C12" s="26">
        <v>-6.1400000000000003E-2</v>
      </c>
      <c r="D12" s="36">
        <v>1.587</v>
      </c>
      <c r="E12" s="28">
        <v>6.4889999999999999</v>
      </c>
      <c r="F12" s="1" t="str">
        <f>HYPERLINK("http://www.ncbi.nlm.nih.gov/pubmed/?term=Arg2","Arg2")</f>
        <v>Arg2</v>
      </c>
    </row>
    <row r="13" spans="1:6" x14ac:dyDescent="0.25">
      <c r="A13" t="s">
        <v>656</v>
      </c>
      <c r="B13" t="s">
        <v>1049</v>
      </c>
      <c r="C13" s="26">
        <v>-1.929</v>
      </c>
      <c r="D13" s="14">
        <v>0.65049999999999997</v>
      </c>
      <c r="E13" s="42">
        <v>4.242</v>
      </c>
      <c r="F13" s="1" t="str">
        <f>HYPERLINK("http://www.ncbi.nlm.nih.gov/pubmed/?term=Tnf","Tnf")</f>
        <v>Tnf</v>
      </c>
    </row>
    <row r="14" spans="1:6" x14ac:dyDescent="0.25">
      <c r="A14" t="s">
        <v>1520</v>
      </c>
      <c r="B14" t="s">
        <v>1718</v>
      </c>
      <c r="C14" s="36">
        <v>1.5840000000000001</v>
      </c>
      <c r="D14" s="42">
        <v>4.38</v>
      </c>
      <c r="E14" s="27">
        <v>5.3470000000000004</v>
      </c>
      <c r="F14" s="1" t="str">
        <f>HYPERLINK("http://www.ncbi.nlm.nih.gov/pubmed/?term=Il1r2","Il1r2")</f>
        <v>Il1r2</v>
      </c>
    </row>
    <row r="15" spans="1:6" x14ac:dyDescent="0.25">
      <c r="A15" t="s">
        <v>391</v>
      </c>
      <c r="B15" t="s">
        <v>558</v>
      </c>
      <c r="C15" s="26">
        <v>-2.9940000000000002</v>
      </c>
      <c r="D15" s="26">
        <v>-4.1790000000000001E-2</v>
      </c>
      <c r="E15" s="28">
        <v>6.1180000000000003</v>
      </c>
      <c r="F15" s="1" t="str">
        <f>HYPERLINK("http://www.ncbi.nlm.nih.gov/pubmed/?term=Il12a","Il12a")</f>
        <v>Il12a</v>
      </c>
    </row>
    <row r="16" spans="1:6" x14ac:dyDescent="0.25">
      <c r="A16" t="s">
        <v>333</v>
      </c>
      <c r="B16" t="s">
        <v>1460</v>
      </c>
      <c r="C16" s="26">
        <v>0.44829999999999998</v>
      </c>
      <c r="D16" s="36">
        <v>2.1360000000000001</v>
      </c>
      <c r="E16" s="42">
        <v>3.8809999999999998</v>
      </c>
      <c r="F16" s="1" t="str">
        <f>HYPERLINK("http://www.ncbi.nlm.nih.gov/pubmed/?term=Pik3cb","Pik3cb")</f>
        <v>Pik3cb</v>
      </c>
    </row>
    <row r="17" spans="1:6" x14ac:dyDescent="0.25">
      <c r="A17" t="s">
        <v>832</v>
      </c>
      <c r="B17" t="s">
        <v>90</v>
      </c>
      <c r="C17" s="36">
        <v>2.129</v>
      </c>
      <c r="D17" s="42">
        <v>4.3460000000000001</v>
      </c>
      <c r="E17" s="28">
        <v>6.0570000000000004</v>
      </c>
      <c r="F17" s="1" t="str">
        <f>HYPERLINK("http://www.ncbi.nlm.nih.gov/pubmed/?term=Serpinb6b","Serpinb6b")</f>
        <v>Serpinb6b</v>
      </c>
    </row>
    <row r="18" spans="1:6" x14ac:dyDescent="0.25">
      <c r="A18" t="s">
        <v>25</v>
      </c>
      <c r="B18" t="s">
        <v>1025</v>
      </c>
      <c r="C18" s="47">
        <v>3.258</v>
      </c>
      <c r="D18" s="42">
        <v>4.2770000000000001</v>
      </c>
      <c r="E18" s="28">
        <v>6.2089999999999996</v>
      </c>
      <c r="F18" s="1" t="str">
        <f>HYPERLINK("http://www.ncbi.nlm.nih.gov/pubmed/?term=Serpinb9","Serpinb9")</f>
        <v>Serpinb9</v>
      </c>
    </row>
    <row r="19" spans="1:6" x14ac:dyDescent="0.25">
      <c r="A19" t="s">
        <v>883</v>
      </c>
      <c r="B19" t="s">
        <v>1031</v>
      </c>
      <c r="C19" s="26">
        <v>-0.56110000000000004</v>
      </c>
      <c r="D19" s="42">
        <v>4.343</v>
      </c>
      <c r="E19" s="43">
        <v>6.524</v>
      </c>
      <c r="F19" s="1" t="str">
        <f>HYPERLINK("http://www.ncbi.nlm.nih.gov/pubmed/?term=Serpinb2","Serpinb2")</f>
        <v>Serpinb2</v>
      </c>
    </row>
    <row r="20" spans="1:6" x14ac:dyDescent="0.25">
      <c r="A20" t="s">
        <v>1674</v>
      </c>
      <c r="B20" t="s">
        <v>52</v>
      </c>
      <c r="C20" s="47">
        <v>3.4660000000000002</v>
      </c>
      <c r="D20" s="42">
        <v>3.9079999999999999</v>
      </c>
      <c r="E20" s="36">
        <v>2.2549999999999999</v>
      </c>
      <c r="F20" s="1" t="str">
        <f>HYPERLINK("http://www.ncbi.nlm.nih.gov/pubmed/?term=Lama5","Lama5")</f>
        <v>Lama5</v>
      </c>
    </row>
    <row r="21" spans="1:6" x14ac:dyDescent="0.25">
      <c r="A21" t="s">
        <v>1882</v>
      </c>
      <c r="B21" t="s">
        <v>474</v>
      </c>
      <c r="C21" s="47">
        <v>3.1909999999999998</v>
      </c>
      <c r="D21" s="42">
        <v>4.0170000000000003</v>
      </c>
      <c r="E21" s="14">
        <v>1.3959999999999999</v>
      </c>
      <c r="F21" s="1" t="str">
        <f>HYPERLINK("http://www.ncbi.nlm.nih.gov/pubmed/?term=Tgfb3","Tgfb3")</f>
        <v>Tgfb3</v>
      </c>
    </row>
    <row r="22" spans="1:6" x14ac:dyDescent="0.25">
      <c r="A22" t="s">
        <v>1471</v>
      </c>
      <c r="B22" t="s">
        <v>801</v>
      </c>
      <c r="C22" s="27">
        <v>4.6050000000000004</v>
      </c>
      <c r="D22" s="28">
        <v>5.6079999999999997</v>
      </c>
      <c r="E22" s="42">
        <v>4.2160000000000002</v>
      </c>
      <c r="F22" s="1" t="str">
        <f>HYPERLINK("http://www.ncbi.nlm.nih.gov/pubmed/?term=Vcl","Vcl")</f>
        <v>Vcl</v>
      </c>
    </row>
    <row r="23" spans="1:6" x14ac:dyDescent="0.25">
      <c r="A23" t="s">
        <v>335</v>
      </c>
      <c r="B23" t="s">
        <v>50</v>
      </c>
      <c r="C23" s="27">
        <v>5.3849999999999998</v>
      </c>
      <c r="D23" s="28">
        <v>5.9589999999999996</v>
      </c>
      <c r="E23" s="42">
        <v>4.1619999999999999</v>
      </c>
      <c r="F23" s="1" t="str">
        <f>HYPERLINK("http://www.ncbi.nlm.nih.gov/pubmed/?term=Lama3","Lama3")</f>
        <v>Lama3</v>
      </c>
    </row>
    <row r="24" spans="1:6" x14ac:dyDescent="0.25">
      <c r="A24" t="s">
        <v>2108</v>
      </c>
      <c r="B24" t="s">
        <v>1572</v>
      </c>
      <c r="C24" s="14">
        <v>0.61960000000000004</v>
      </c>
      <c r="D24" s="42">
        <v>3.5</v>
      </c>
      <c r="E24" s="26">
        <v>0.2238</v>
      </c>
      <c r="F24" s="1" t="str">
        <f>HYPERLINK("http://www.ncbi.nlm.nih.gov/pubmed/?term=Gna14","Gna14")</f>
        <v>Gna14</v>
      </c>
    </row>
    <row r="25" spans="1:6" x14ac:dyDescent="0.25">
      <c r="A25" t="s">
        <v>1210</v>
      </c>
      <c r="B25" t="s">
        <v>1944</v>
      </c>
      <c r="C25" s="27">
        <v>4.9720000000000004</v>
      </c>
      <c r="D25" s="28">
        <v>6.375</v>
      </c>
      <c r="E25" s="27">
        <v>4.8499999999999996</v>
      </c>
      <c r="F25" s="1" t="str">
        <f>HYPERLINK("http://www.ncbi.nlm.nih.gov/pubmed/?term=Lamc2","Lamc2")</f>
        <v>Lamc2</v>
      </c>
    </row>
    <row r="26" spans="1:6" x14ac:dyDescent="0.25">
      <c r="A26" t="s">
        <v>880</v>
      </c>
      <c r="B26" t="s">
        <v>1788</v>
      </c>
      <c r="C26" s="28">
        <v>5.6509999999999998</v>
      </c>
      <c r="D26" s="28">
        <v>5.7839999999999998</v>
      </c>
      <c r="E26" s="47">
        <v>2.7770000000000001</v>
      </c>
      <c r="F26" s="1" t="str">
        <f>HYPERLINK("http://www.ncbi.nlm.nih.gov/pubmed/?term=Lamb3","Lamb3")</f>
        <v>Lamb3</v>
      </c>
    </row>
    <row r="27" spans="1:6" x14ac:dyDescent="0.25">
      <c r="A27" t="s">
        <v>1806</v>
      </c>
      <c r="B27" t="s">
        <v>485</v>
      </c>
      <c r="C27" s="43">
        <v>6.548</v>
      </c>
      <c r="D27" s="43">
        <v>7.0190000000000001</v>
      </c>
      <c r="E27" s="27">
        <v>5.0270000000000001</v>
      </c>
      <c r="F27" s="1" t="str">
        <f>HYPERLINK("http://www.ncbi.nlm.nih.gov/pubmed/?term=Col4a1","Col4a1")</f>
        <v>Col4a1</v>
      </c>
    </row>
    <row r="28" spans="1:6" x14ac:dyDescent="0.25">
      <c r="A28" t="s">
        <v>1619</v>
      </c>
      <c r="B28" t="s">
        <v>1787</v>
      </c>
      <c r="C28" s="28">
        <v>6.2549999999999999</v>
      </c>
      <c r="D28" s="28">
        <v>5.7009999999999996</v>
      </c>
      <c r="E28" s="47">
        <v>3.476</v>
      </c>
      <c r="F28" s="1" t="str">
        <f>HYPERLINK("http://www.ncbi.nlm.nih.gov/pubmed/?term=Lamb1","Lamb1")</f>
        <v>Lamb1</v>
      </c>
    </row>
    <row r="29" spans="1:6" x14ac:dyDescent="0.25">
      <c r="A29" t="s">
        <v>1506</v>
      </c>
      <c r="B29" t="s">
        <v>1331</v>
      </c>
      <c r="C29" s="27">
        <v>4.74</v>
      </c>
      <c r="D29" s="42">
        <v>3.9580000000000002</v>
      </c>
      <c r="E29" s="47">
        <v>2.786</v>
      </c>
      <c r="F29" s="1" t="str">
        <f>HYPERLINK("http://www.ncbi.nlm.nih.gov/pubmed/?term=Prkacb","Prkacb")</f>
        <v>Prkacb</v>
      </c>
    </row>
    <row r="30" spans="1:6" x14ac:dyDescent="0.25">
      <c r="A30" t="s">
        <v>961</v>
      </c>
      <c r="B30" t="s">
        <v>51</v>
      </c>
      <c r="C30" s="42">
        <v>4.2140000000000004</v>
      </c>
      <c r="D30" s="42">
        <v>3.5419999999999998</v>
      </c>
      <c r="E30" s="36">
        <v>2.4350000000000001</v>
      </c>
      <c r="F30" s="1" t="str">
        <f>HYPERLINK("http://www.ncbi.nlm.nih.gov/pubmed/?term=Lama4","Lama4")</f>
        <v>Lama4</v>
      </c>
    </row>
    <row r="31" spans="1:6" x14ac:dyDescent="0.25">
      <c r="A31" t="s">
        <v>49</v>
      </c>
      <c r="B31" t="s">
        <v>1564</v>
      </c>
      <c r="C31" s="27">
        <v>4.6529999999999996</v>
      </c>
      <c r="D31" s="42">
        <v>3.782</v>
      </c>
      <c r="E31" s="36">
        <v>2.4590000000000001</v>
      </c>
      <c r="F31" s="1" t="str">
        <f>HYPERLINK("http://www.ncbi.nlm.nih.gov/pubmed/?term=Gnaq","Gnaq")</f>
        <v>Gnaq</v>
      </c>
    </row>
    <row r="32" spans="1:6" x14ac:dyDescent="0.25">
      <c r="A32" t="s">
        <v>1211</v>
      </c>
      <c r="B32" t="s">
        <v>1946</v>
      </c>
      <c r="C32" s="28">
        <v>5.6539999999999999</v>
      </c>
      <c r="D32" s="42">
        <v>3.6970000000000001</v>
      </c>
      <c r="E32" s="36">
        <v>2.4590000000000001</v>
      </c>
      <c r="F32" s="1" t="str">
        <f>HYPERLINK("http://www.ncbi.nlm.nih.gov/pubmed/?term=Lamc1","Lamc1")</f>
        <v>Lamc1</v>
      </c>
    </row>
    <row r="33" spans="1:6" x14ac:dyDescent="0.25">
      <c r="A33" t="s">
        <v>1544</v>
      </c>
      <c r="B33" t="s">
        <v>774</v>
      </c>
      <c r="C33" s="42">
        <v>3.528</v>
      </c>
      <c r="D33" s="14">
        <v>0.76790000000000003</v>
      </c>
      <c r="E33" s="26">
        <v>-0.55920000000000003</v>
      </c>
      <c r="F33" s="1" t="str">
        <f>HYPERLINK("http://www.ncbi.nlm.nih.gov/pubmed/?term=Col4a5","Col4a5")</f>
        <v>Col4a5</v>
      </c>
    </row>
    <row r="34" spans="1:6" x14ac:dyDescent="0.25">
      <c r="A34" t="s">
        <v>1805</v>
      </c>
      <c r="B34" t="s">
        <v>781</v>
      </c>
      <c r="C34" s="43">
        <v>6.66</v>
      </c>
      <c r="D34" s="28">
        <v>6.1059999999999999</v>
      </c>
      <c r="E34" s="42">
        <v>4.1219999999999999</v>
      </c>
      <c r="F34" s="1" t="str">
        <f>HYPERLINK("http://www.ncbi.nlm.nih.gov/pubmed/?term=Col4a2","Col4a2")</f>
        <v>Col4a2</v>
      </c>
    </row>
    <row r="35" spans="1:6" x14ac:dyDescent="0.25">
      <c r="A35" t="s">
        <v>1205</v>
      </c>
      <c r="B35" t="s">
        <v>1329</v>
      </c>
      <c r="C35" s="28">
        <v>5.6820000000000004</v>
      </c>
      <c r="D35" s="27">
        <v>5.0220000000000002</v>
      </c>
      <c r="E35" s="27">
        <v>4.7060000000000004</v>
      </c>
      <c r="F35" s="1" t="str">
        <f>HYPERLINK("http://www.ncbi.nlm.nih.gov/pubmed/?term=Pik3r2","Pik3r2")</f>
        <v>Pik3r2</v>
      </c>
    </row>
    <row r="36" spans="1:6" x14ac:dyDescent="0.25">
      <c r="A36" t="s">
        <v>2036</v>
      </c>
      <c r="B36" t="s">
        <v>1574</v>
      </c>
      <c r="C36" s="27">
        <v>4.6079999999999997</v>
      </c>
      <c r="D36" s="42">
        <v>3.7130000000000001</v>
      </c>
      <c r="E36" s="47">
        <v>2.661</v>
      </c>
      <c r="F36" s="1" t="str">
        <f>HYPERLINK("http://www.ncbi.nlm.nih.gov/pubmed/?term=Gna11","Gna11")</f>
        <v>Gna11</v>
      </c>
    </row>
    <row r="37" spans="1:6" x14ac:dyDescent="0.25">
      <c r="A37" t="s">
        <v>731</v>
      </c>
      <c r="B37" t="s">
        <v>1330</v>
      </c>
      <c r="C37" s="27">
        <v>4.9180000000000001</v>
      </c>
      <c r="D37" s="27">
        <v>4.8079999999999998</v>
      </c>
      <c r="E37" s="42">
        <v>3.7410000000000001</v>
      </c>
      <c r="F37" s="1" t="str">
        <f>HYPERLINK("http://www.ncbi.nlm.nih.gov/pubmed/?term=Pik3r1","Pik3r1")</f>
        <v>Pik3r1</v>
      </c>
    </row>
    <row r="38" spans="1:6" x14ac:dyDescent="0.25">
      <c r="A38" t="s">
        <v>1459</v>
      </c>
      <c r="B38" t="s">
        <v>473</v>
      </c>
      <c r="C38" s="47">
        <v>3.3570000000000002</v>
      </c>
      <c r="D38" s="47">
        <v>2.609</v>
      </c>
      <c r="E38" s="42">
        <v>3.7639999999999998</v>
      </c>
      <c r="F38" s="1" t="str">
        <f>HYPERLINK("http://www.ncbi.nlm.nih.gov/pubmed/?term=Tgfb1","Tgfb1")</f>
        <v>Tgfb1</v>
      </c>
    </row>
    <row r="39" spans="1:6" x14ac:dyDescent="0.25">
      <c r="A39" t="s">
        <v>1819</v>
      </c>
      <c r="B39" t="s">
        <v>1948</v>
      </c>
      <c r="C39" s="28">
        <v>6.0519999999999996</v>
      </c>
      <c r="D39" s="28">
        <v>5.57</v>
      </c>
      <c r="E39" s="43">
        <v>7.7460000000000004</v>
      </c>
      <c r="F39" s="1" t="str">
        <f>HYPERLINK("http://www.ncbi.nlm.nih.gov/pubmed/?term=Actn3","Actn3")</f>
        <v>Actn3</v>
      </c>
    </row>
    <row r="40" spans="1:6" x14ac:dyDescent="0.25">
      <c r="A40" t="s">
        <v>482</v>
      </c>
      <c r="B40" t="s">
        <v>44</v>
      </c>
      <c r="C40" s="26">
        <v>7.9680000000000001E-2</v>
      </c>
      <c r="D40" s="26">
        <v>-0.70120000000000005</v>
      </c>
      <c r="E40" s="42">
        <v>3.97</v>
      </c>
      <c r="F40" s="1" t="str">
        <f>HYPERLINK("http://www.ncbi.nlm.nih.gov/pubmed/?term=Adcy1","Adcy1")</f>
        <v>Adcy1</v>
      </c>
    </row>
    <row r="41" spans="1:6" x14ac:dyDescent="0.25">
      <c r="A41" t="s">
        <v>973</v>
      </c>
      <c r="B41" t="s">
        <v>1936</v>
      </c>
      <c r="C41" s="27">
        <v>4.9489999999999998</v>
      </c>
      <c r="D41" s="42">
        <v>4.2130000000000001</v>
      </c>
      <c r="E41" s="28">
        <v>5.6050000000000004</v>
      </c>
      <c r="F41" s="1" t="str">
        <f>HYPERLINK("http://www.ncbi.nlm.nih.gov/pubmed/?term=Plcb4","Plcb4")</f>
        <v>Plcb4</v>
      </c>
    </row>
    <row r="42" spans="1:6" x14ac:dyDescent="0.25">
      <c r="A42" t="s">
        <v>1880</v>
      </c>
      <c r="B42" t="s">
        <v>1077</v>
      </c>
      <c r="C42" s="42">
        <v>3.6549999999999998</v>
      </c>
      <c r="D42" s="47">
        <v>3.3140000000000001</v>
      </c>
      <c r="E42" s="28">
        <v>6.2270000000000003</v>
      </c>
      <c r="F42" s="1" t="str">
        <f>HYPERLINK("http://www.ncbi.nlm.nih.gov/pubmed/?term=Prkca","Prkca")</f>
        <v>Prkca</v>
      </c>
    </row>
    <row r="43" spans="1:6" x14ac:dyDescent="0.25">
      <c r="A43" t="s">
        <v>1446</v>
      </c>
      <c r="B43" t="s">
        <v>1638</v>
      </c>
      <c r="C43" s="14">
        <v>0.77539999999999998</v>
      </c>
      <c r="D43" s="14">
        <v>0.56310000000000004</v>
      </c>
      <c r="E43" s="42">
        <v>4.33</v>
      </c>
      <c r="F43" s="1" t="str">
        <f>HYPERLINK("http://www.ncbi.nlm.nih.gov/pubmed/?term=Serpinb10-ps","Serpinb10-ps")</f>
        <v>Serpinb10-ps</v>
      </c>
    </row>
    <row r="44" spans="1:6" x14ac:dyDescent="0.25">
      <c r="A44" t="s">
        <v>1660</v>
      </c>
      <c r="B44" t="s">
        <v>2069</v>
      </c>
      <c r="C44" s="42">
        <v>3.8090000000000002</v>
      </c>
      <c r="D44" s="26">
        <v>-1.27</v>
      </c>
      <c r="E44" s="26">
        <v>-1.117</v>
      </c>
      <c r="F44" s="1" t="str">
        <f>HYPERLINK("http://www.ncbi.nlm.nih.gov/pubmed/?term=Itgb2","Itgb2")</f>
        <v>Itgb2</v>
      </c>
    </row>
    <row r="45" spans="1:6" x14ac:dyDescent="0.25">
      <c r="A45" t="s">
        <v>1029</v>
      </c>
      <c r="B45" t="s">
        <v>1277</v>
      </c>
      <c r="C45" s="43">
        <v>6.9329999999999998</v>
      </c>
      <c r="D45" s="47">
        <v>3.0720000000000001</v>
      </c>
      <c r="E45" s="42">
        <v>4.2380000000000004</v>
      </c>
      <c r="F45" s="1" t="str">
        <f>HYPERLINK("http://www.ncbi.nlm.nih.gov/pubmed/?term=Fn1","Fn1")</f>
        <v>Fn1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501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4">
        <v>2.2389999999999999</v>
      </c>
      <c r="D5" s="35">
        <v>7.0960000000000001</v>
      </c>
      <c r="E5" s="5">
        <v>5.49</v>
      </c>
      <c r="F5" s="1" t="str">
        <f>HYPERLINK("http://www.ncbi.nlm.nih.gov/pubmed/?term=Mapk13","Mapk13")</f>
        <v>Mapk13</v>
      </c>
    </row>
    <row r="6" spans="1:6" x14ac:dyDescent="0.25">
      <c r="A6" t="s">
        <v>1098</v>
      </c>
      <c r="B6" t="s">
        <v>929</v>
      </c>
      <c r="C6" s="26">
        <v>-4.3019999999999996</v>
      </c>
      <c r="D6" s="50">
        <v>3.4460000000000002</v>
      </c>
      <c r="E6" s="4">
        <v>2.1880000000000002</v>
      </c>
      <c r="F6" s="1" t="str">
        <f>HYPERLINK("http://www.ncbi.nlm.nih.gov/pubmed/?term=Il10","Il10")</f>
        <v>Il10</v>
      </c>
    </row>
    <row r="7" spans="1:6" x14ac:dyDescent="0.25">
      <c r="A7" t="s">
        <v>2016</v>
      </c>
      <c r="B7" t="s">
        <v>1464</v>
      </c>
      <c r="C7" s="26">
        <v>-0.25159999999999999</v>
      </c>
      <c r="D7" s="5">
        <v>4.952</v>
      </c>
      <c r="E7" s="30">
        <v>0.69540000000000002</v>
      </c>
      <c r="F7" s="1" t="str">
        <f>HYPERLINK("http://www.ncbi.nlm.nih.gov/pubmed/?term=Pik3cg","Pik3cg")</f>
        <v>Pik3cg</v>
      </c>
    </row>
    <row r="8" spans="1:6" x14ac:dyDescent="0.25">
      <c r="A8" t="s">
        <v>1335</v>
      </c>
      <c r="B8" t="s">
        <v>1328</v>
      </c>
      <c r="C8" s="30">
        <v>0.53520000000000001</v>
      </c>
      <c r="D8" s="31">
        <v>5.8090000000000002</v>
      </c>
      <c r="E8" s="50">
        <v>2.5489999999999999</v>
      </c>
      <c r="F8" s="1" t="str">
        <f>HYPERLINK("http://www.ncbi.nlm.nih.gov/pubmed/?term=Pik3r5","Pik3r5")</f>
        <v>Pik3r5</v>
      </c>
    </row>
    <row r="9" spans="1:6" x14ac:dyDescent="0.25">
      <c r="A9" t="s">
        <v>633</v>
      </c>
      <c r="B9" t="s">
        <v>1823</v>
      </c>
      <c r="C9" s="26">
        <v>-2.1240000000000001</v>
      </c>
      <c r="D9" s="31">
        <v>6.1740000000000004</v>
      </c>
      <c r="E9" s="50">
        <v>3.056</v>
      </c>
      <c r="F9" s="1" t="str">
        <f>HYPERLINK("http://www.ncbi.nlm.nih.gov/pubmed/?term=Alox5","Alox5")</f>
        <v>Alox5</v>
      </c>
    </row>
    <row r="10" spans="1:6" x14ac:dyDescent="0.25">
      <c r="A10" t="s">
        <v>850</v>
      </c>
      <c r="B10" t="s">
        <v>1615</v>
      </c>
      <c r="C10" s="5">
        <v>5.375</v>
      </c>
      <c r="D10" s="6">
        <v>7.7729999999999997</v>
      </c>
      <c r="E10" s="31">
        <v>6.2270000000000003</v>
      </c>
      <c r="F10" s="1" t="str">
        <f>HYPERLINK("http://www.ncbi.nlm.nih.gov/pubmed/?term=Hspa1b","Hspa1b")</f>
        <v>Hspa1b</v>
      </c>
    </row>
    <row r="11" spans="1:6" x14ac:dyDescent="0.25">
      <c r="A11" t="s">
        <v>1975</v>
      </c>
      <c r="B11" t="s">
        <v>1616</v>
      </c>
      <c r="C11" s="44">
        <v>4.4249999999999998</v>
      </c>
      <c r="D11" s="35">
        <v>6.9690000000000003</v>
      </c>
      <c r="E11" s="5">
        <v>5.39</v>
      </c>
      <c r="F11" s="1" t="str">
        <f>HYPERLINK("http://www.ncbi.nlm.nih.gov/pubmed/?term=Hspa1a","Hspa1a")</f>
        <v>Hspa1a</v>
      </c>
    </row>
    <row r="12" spans="1:6" x14ac:dyDescent="0.25">
      <c r="A12" t="s">
        <v>390</v>
      </c>
      <c r="B12" t="s">
        <v>1712</v>
      </c>
      <c r="C12" s="31">
        <v>5.78</v>
      </c>
      <c r="D12" s="35">
        <v>6.601</v>
      </c>
      <c r="E12" s="6">
        <v>7.68</v>
      </c>
      <c r="F12" s="1" t="str">
        <f>HYPERLINK("http://www.ncbi.nlm.nih.gov/pubmed/?term=Stat3","Stat3")</f>
        <v>Stat3</v>
      </c>
    </row>
    <row r="13" spans="1:6" x14ac:dyDescent="0.25">
      <c r="A13" t="s">
        <v>1237</v>
      </c>
      <c r="B13" t="s">
        <v>1139</v>
      </c>
      <c r="C13" s="44">
        <v>4.141</v>
      </c>
      <c r="D13" s="44">
        <v>4.1669999999999998</v>
      </c>
      <c r="E13" s="35">
        <v>6.782</v>
      </c>
      <c r="F13" s="1" t="str">
        <f>HYPERLINK("http://www.ncbi.nlm.nih.gov/pubmed/?term=Bcl2l1","Bcl2l1")</f>
        <v>Bcl2l1</v>
      </c>
    </row>
    <row r="14" spans="1:6" x14ac:dyDescent="0.25">
      <c r="A14" t="s">
        <v>1173</v>
      </c>
      <c r="B14" t="s">
        <v>1060</v>
      </c>
      <c r="C14" s="26">
        <v>-1.2470000000000001</v>
      </c>
      <c r="D14" s="4">
        <v>2.052</v>
      </c>
      <c r="E14" s="35">
        <v>7.4489999999999998</v>
      </c>
      <c r="F14" s="1" t="str">
        <f>HYPERLINK("http://www.ncbi.nlm.nih.gov/pubmed/?term=Nos2","Nos2")</f>
        <v>Nos2</v>
      </c>
    </row>
    <row r="15" spans="1:6" x14ac:dyDescent="0.25">
      <c r="A15" t="s">
        <v>1487</v>
      </c>
      <c r="B15" t="s">
        <v>1618</v>
      </c>
      <c r="C15" s="44">
        <v>4.0289999999999999</v>
      </c>
      <c r="D15" s="5">
        <v>4.91</v>
      </c>
      <c r="E15" s="5">
        <v>5.2249999999999996</v>
      </c>
      <c r="F15" s="1" t="str">
        <f>HYPERLINK("http://www.ncbi.nlm.nih.gov/pubmed/?term=Ifngr2","Ifngr2")</f>
        <v>Ifngr2</v>
      </c>
    </row>
    <row r="16" spans="1:6" x14ac:dyDescent="0.25">
      <c r="A16" t="s">
        <v>656</v>
      </c>
      <c r="B16" t="s">
        <v>1049</v>
      </c>
      <c r="C16" s="26">
        <v>-1.929</v>
      </c>
      <c r="D16" s="30">
        <v>0.65049999999999997</v>
      </c>
      <c r="E16" s="44">
        <v>4.242</v>
      </c>
      <c r="F16" s="1" t="str">
        <f>HYPERLINK("http://www.ncbi.nlm.nih.gov/pubmed/?term=Tnf","Tnf")</f>
        <v>Tnf</v>
      </c>
    </row>
    <row r="17" spans="1:6" x14ac:dyDescent="0.25">
      <c r="A17" t="s">
        <v>391</v>
      </c>
      <c r="B17" t="s">
        <v>558</v>
      </c>
      <c r="C17" s="26">
        <v>-2.9940000000000002</v>
      </c>
      <c r="D17" s="26">
        <v>-4.1790000000000001E-2</v>
      </c>
      <c r="E17" s="31">
        <v>6.1180000000000003</v>
      </c>
      <c r="F17" s="1" t="str">
        <f>HYPERLINK("http://www.ncbi.nlm.nih.gov/pubmed/?term=Il12a","Il12a")</f>
        <v>Il12a</v>
      </c>
    </row>
    <row r="18" spans="1:6" x14ac:dyDescent="0.25">
      <c r="A18" t="s">
        <v>1352</v>
      </c>
      <c r="B18" t="s">
        <v>2160</v>
      </c>
      <c r="C18" s="5">
        <v>4.5460000000000003</v>
      </c>
      <c r="D18" s="5">
        <v>4.9820000000000002</v>
      </c>
      <c r="E18" s="31">
        <v>6.2560000000000002</v>
      </c>
      <c r="F18" s="1" t="str">
        <f>HYPERLINK("http://www.ncbi.nlm.nih.gov/pubmed/?term=Ikbkb","Ikbkb")</f>
        <v>Ikbkb</v>
      </c>
    </row>
    <row r="19" spans="1:6" x14ac:dyDescent="0.25">
      <c r="A19" t="s">
        <v>2042</v>
      </c>
      <c r="B19" t="s">
        <v>1233</v>
      </c>
      <c r="C19" s="31">
        <v>5.5170000000000003</v>
      </c>
      <c r="D19" s="31">
        <v>5.56</v>
      </c>
      <c r="E19" s="35">
        <v>7.3120000000000003</v>
      </c>
      <c r="F19" s="1" t="str">
        <f>HYPERLINK("http://www.ncbi.nlm.nih.gov/pubmed/?term=Birc3","Birc3")</f>
        <v>Birc3</v>
      </c>
    </row>
    <row r="20" spans="1:6" x14ac:dyDescent="0.25">
      <c r="A20" t="s">
        <v>1279</v>
      </c>
      <c r="B20" t="s">
        <v>919</v>
      </c>
      <c r="C20" s="26">
        <v>-2.2109999999999999</v>
      </c>
      <c r="D20" s="26">
        <v>-0.16819999999999999</v>
      </c>
      <c r="E20" s="44">
        <v>3.6920000000000002</v>
      </c>
      <c r="F20" s="1" t="str">
        <f>HYPERLINK("http://www.ncbi.nlm.nih.gov/pubmed/?term=Il10ra","Il10ra")</f>
        <v>Il10ra</v>
      </c>
    </row>
    <row r="21" spans="1:6" x14ac:dyDescent="0.25">
      <c r="A21" t="s">
        <v>1607</v>
      </c>
      <c r="B21" t="s">
        <v>386</v>
      </c>
      <c r="C21" s="50">
        <v>2.9220000000000002</v>
      </c>
      <c r="D21" s="50">
        <v>2.9729999999999999</v>
      </c>
      <c r="E21" s="44">
        <v>4.1470000000000002</v>
      </c>
      <c r="F21" s="1" t="str">
        <f>HYPERLINK("http://www.ncbi.nlm.nih.gov/pubmed/?term=Tyk2","Tyk2")</f>
        <v>Tyk2</v>
      </c>
    </row>
    <row r="22" spans="1:6" x14ac:dyDescent="0.25">
      <c r="A22" t="s">
        <v>333</v>
      </c>
      <c r="B22" t="s">
        <v>1460</v>
      </c>
      <c r="C22" s="26">
        <v>0.44829999999999998</v>
      </c>
      <c r="D22" s="4">
        <v>2.1360000000000001</v>
      </c>
      <c r="E22" s="44">
        <v>3.8809999999999998</v>
      </c>
      <c r="F22" s="1" t="str">
        <f>HYPERLINK("http://www.ncbi.nlm.nih.gov/pubmed/?term=Pik3cb","Pik3cb")</f>
        <v>Pik3cb</v>
      </c>
    </row>
    <row r="23" spans="1:6" x14ac:dyDescent="0.25">
      <c r="A23" t="s">
        <v>1956</v>
      </c>
      <c r="B23" t="s">
        <v>1715</v>
      </c>
      <c r="C23" s="31">
        <v>5.9130000000000003</v>
      </c>
      <c r="D23" s="31">
        <v>5.9269999999999996</v>
      </c>
      <c r="E23" s="6">
        <v>8.0259999999999998</v>
      </c>
      <c r="F23" s="1" t="str">
        <f>HYPERLINK("http://www.ncbi.nlm.nih.gov/pubmed/?term=H2-DMb2","H2-DMb2")</f>
        <v>H2-DMb2</v>
      </c>
    </row>
    <row r="24" spans="1:6" x14ac:dyDescent="0.25">
      <c r="A24" t="s">
        <v>1374</v>
      </c>
      <c r="B24" t="s">
        <v>1563</v>
      </c>
      <c r="C24" s="44">
        <v>4.0599999999999996</v>
      </c>
      <c r="D24" s="5">
        <v>4.5129999999999999</v>
      </c>
      <c r="E24" s="5">
        <v>5.383</v>
      </c>
      <c r="F24" s="1" t="str">
        <f>HYPERLINK("http://www.ncbi.nlm.nih.gov/pubmed/?term=Socs1","Socs1")</f>
        <v>Socs1</v>
      </c>
    </row>
    <row r="25" spans="1:6" x14ac:dyDescent="0.25">
      <c r="A25" t="s">
        <v>1491</v>
      </c>
      <c r="B25" t="s">
        <v>1428</v>
      </c>
      <c r="C25" s="26">
        <v>-0.41930000000000001</v>
      </c>
      <c r="D25" s="4">
        <v>2.2890000000000001</v>
      </c>
      <c r="E25" s="35">
        <v>6.6079999999999997</v>
      </c>
      <c r="F25" s="1" t="str">
        <f>HYPERLINK("http://www.ncbi.nlm.nih.gov/pubmed/?term=H2-Ob","H2-Ob")</f>
        <v>H2-Ob</v>
      </c>
    </row>
    <row r="26" spans="1:6" x14ac:dyDescent="0.25">
      <c r="A26" t="s">
        <v>1401</v>
      </c>
      <c r="B26" t="s">
        <v>591</v>
      </c>
      <c r="C26" s="49">
        <v>9.7219999999999995</v>
      </c>
      <c r="D26" s="49">
        <v>9.8309999999999995</v>
      </c>
      <c r="E26" s="43">
        <v>11.67</v>
      </c>
      <c r="F26" s="1" t="str">
        <f>HYPERLINK("http://www.ncbi.nlm.nih.gov/pubmed/?term=H2-Eb1","H2-Eb1")</f>
        <v>H2-Eb1</v>
      </c>
    </row>
    <row r="27" spans="1:6" x14ac:dyDescent="0.25">
      <c r="A27" t="s">
        <v>1674</v>
      </c>
      <c r="B27" t="s">
        <v>52</v>
      </c>
      <c r="C27" s="50">
        <v>3.4660000000000002</v>
      </c>
      <c r="D27" s="44">
        <v>3.9079999999999999</v>
      </c>
      <c r="E27" s="4">
        <v>2.2549999999999999</v>
      </c>
      <c r="F27" s="1" t="str">
        <f>HYPERLINK("http://www.ncbi.nlm.nih.gov/pubmed/?term=Lama5","Lama5")</f>
        <v>Lama5</v>
      </c>
    </row>
    <row r="28" spans="1:6" x14ac:dyDescent="0.25">
      <c r="A28" t="s">
        <v>1747</v>
      </c>
      <c r="B28" t="s">
        <v>1617</v>
      </c>
      <c r="C28" s="44">
        <v>4.47</v>
      </c>
      <c r="D28" s="31">
        <v>5.5170000000000003</v>
      </c>
      <c r="E28" s="44">
        <v>3.8849999999999998</v>
      </c>
      <c r="F28" s="1" t="str">
        <f>HYPERLINK("http://www.ncbi.nlm.nih.gov/pubmed/?term=Ifngr1","Ifngr1")</f>
        <v>Ifngr1</v>
      </c>
    </row>
    <row r="29" spans="1:6" x14ac:dyDescent="0.25">
      <c r="A29" t="s">
        <v>1882</v>
      </c>
      <c r="B29" t="s">
        <v>474</v>
      </c>
      <c r="C29" s="50">
        <v>3.1909999999999998</v>
      </c>
      <c r="D29" s="44">
        <v>4.0170000000000003</v>
      </c>
      <c r="E29" s="30">
        <v>1.3959999999999999</v>
      </c>
      <c r="F29" s="1" t="str">
        <f>HYPERLINK("http://www.ncbi.nlm.nih.gov/pubmed/?term=Tgfb3","Tgfb3")</f>
        <v>Tgfb3</v>
      </c>
    </row>
    <row r="30" spans="1:6" x14ac:dyDescent="0.25">
      <c r="A30" t="s">
        <v>335</v>
      </c>
      <c r="B30" t="s">
        <v>50</v>
      </c>
      <c r="C30" s="5">
        <v>5.3849999999999998</v>
      </c>
      <c r="D30" s="31">
        <v>5.9589999999999996</v>
      </c>
      <c r="E30" s="44">
        <v>4.1619999999999999</v>
      </c>
      <c r="F30" s="1" t="str">
        <f>HYPERLINK("http://www.ncbi.nlm.nih.gov/pubmed/?term=Lama3","Lama3")</f>
        <v>Lama3</v>
      </c>
    </row>
    <row r="31" spans="1:6" x14ac:dyDescent="0.25">
      <c r="A31" t="s">
        <v>1210</v>
      </c>
      <c r="B31" t="s">
        <v>1944</v>
      </c>
      <c r="C31" s="5">
        <v>4.9720000000000004</v>
      </c>
      <c r="D31" s="31">
        <v>6.375</v>
      </c>
      <c r="E31" s="5">
        <v>4.8499999999999996</v>
      </c>
      <c r="F31" s="1" t="str">
        <f>HYPERLINK("http://www.ncbi.nlm.nih.gov/pubmed/?term=Lamc2","Lamc2")</f>
        <v>Lamc2</v>
      </c>
    </row>
    <row r="32" spans="1:6" x14ac:dyDescent="0.25">
      <c r="A32" t="s">
        <v>880</v>
      </c>
      <c r="B32" t="s">
        <v>1788</v>
      </c>
      <c r="C32" s="31">
        <v>5.6509999999999998</v>
      </c>
      <c r="D32" s="31">
        <v>5.7839999999999998</v>
      </c>
      <c r="E32" s="50">
        <v>2.7770000000000001</v>
      </c>
      <c r="F32" s="1" t="str">
        <f>HYPERLINK("http://www.ncbi.nlm.nih.gov/pubmed/?term=Lamb3","Lamb3")</f>
        <v>Lamb3</v>
      </c>
    </row>
    <row r="33" spans="1:6" x14ac:dyDescent="0.25">
      <c r="A33" t="s">
        <v>1619</v>
      </c>
      <c r="B33" t="s">
        <v>1787</v>
      </c>
      <c r="C33" s="31">
        <v>6.2549999999999999</v>
      </c>
      <c r="D33" s="31">
        <v>5.7009999999999996</v>
      </c>
      <c r="E33" s="50">
        <v>3.476</v>
      </c>
      <c r="F33" s="1" t="str">
        <f>HYPERLINK("http://www.ncbi.nlm.nih.gov/pubmed/?term=Lamb1","Lamb1")</f>
        <v>Lamb1</v>
      </c>
    </row>
    <row r="34" spans="1:6" x14ac:dyDescent="0.25">
      <c r="A34" t="s">
        <v>961</v>
      </c>
      <c r="B34" t="s">
        <v>51</v>
      </c>
      <c r="C34" s="44">
        <v>4.2140000000000004</v>
      </c>
      <c r="D34" s="44">
        <v>3.5419999999999998</v>
      </c>
      <c r="E34" s="4">
        <v>2.4350000000000001</v>
      </c>
      <c r="F34" s="1" t="str">
        <f>HYPERLINK("http://www.ncbi.nlm.nih.gov/pubmed/?term=Lama4","Lama4")</f>
        <v>Lama4</v>
      </c>
    </row>
    <row r="35" spans="1:6" x14ac:dyDescent="0.25">
      <c r="A35" t="s">
        <v>31</v>
      </c>
      <c r="B35" t="s">
        <v>400</v>
      </c>
      <c r="C35" s="44">
        <v>4.476</v>
      </c>
      <c r="D35" s="44">
        <v>3.5920000000000001</v>
      </c>
      <c r="E35" s="50">
        <v>3.4319999999999999</v>
      </c>
      <c r="F35" s="1" t="str">
        <f>HYPERLINK("http://www.ncbi.nlm.nih.gov/pubmed/?term=Mapk9","Mapk9")</f>
        <v>Mapk9</v>
      </c>
    </row>
    <row r="36" spans="1:6" x14ac:dyDescent="0.25">
      <c r="A36" t="s">
        <v>834</v>
      </c>
      <c r="B36" t="s">
        <v>1552</v>
      </c>
      <c r="C36" s="5">
        <v>4.516</v>
      </c>
      <c r="D36" s="44">
        <v>3.7549999999999999</v>
      </c>
      <c r="E36" s="50">
        <v>3.4649999999999999</v>
      </c>
      <c r="F36" s="1" t="str">
        <f>HYPERLINK("http://www.ncbi.nlm.nih.gov/pubmed/?term=Mapk8","Mapk8")</f>
        <v>Mapk8</v>
      </c>
    </row>
    <row r="37" spans="1:6" x14ac:dyDescent="0.25">
      <c r="A37" t="s">
        <v>1398</v>
      </c>
      <c r="B37" t="s">
        <v>36</v>
      </c>
      <c r="C37" s="44">
        <v>4.2149999999999999</v>
      </c>
      <c r="D37" s="50">
        <v>3.403</v>
      </c>
      <c r="E37" s="4">
        <v>2.5</v>
      </c>
      <c r="F37" s="1" t="str">
        <f>HYPERLINK("http://www.ncbi.nlm.nih.gov/pubmed/?term=Tab1","Tab1")</f>
        <v>Tab1</v>
      </c>
    </row>
    <row r="38" spans="1:6" x14ac:dyDescent="0.25">
      <c r="A38" t="s">
        <v>233</v>
      </c>
      <c r="B38" t="s">
        <v>1714</v>
      </c>
      <c r="C38" s="35">
        <v>6.734</v>
      </c>
      <c r="D38" s="35">
        <v>6.7110000000000003</v>
      </c>
      <c r="E38" s="5">
        <v>5.4809999999999999</v>
      </c>
      <c r="F38" s="1" t="str">
        <f>HYPERLINK("http://www.ncbi.nlm.nih.gov/pubmed/?term=Stat1","Stat1")</f>
        <v>Stat1</v>
      </c>
    </row>
    <row r="39" spans="1:6" x14ac:dyDescent="0.25">
      <c r="A39" t="s">
        <v>1211</v>
      </c>
      <c r="B39" t="s">
        <v>1946</v>
      </c>
      <c r="C39" s="31">
        <v>5.6539999999999999</v>
      </c>
      <c r="D39" s="44">
        <v>3.6970000000000001</v>
      </c>
      <c r="E39" s="4">
        <v>2.4590000000000001</v>
      </c>
      <c r="F39" s="1" t="str">
        <f>HYPERLINK("http://www.ncbi.nlm.nih.gov/pubmed/?term=Lamc1","Lamc1")</f>
        <v>Lamc1</v>
      </c>
    </row>
    <row r="40" spans="1:6" x14ac:dyDescent="0.25">
      <c r="A40" t="s">
        <v>242</v>
      </c>
      <c r="B40" t="s">
        <v>997</v>
      </c>
      <c r="C40" s="31">
        <v>6.056</v>
      </c>
      <c r="D40" s="5">
        <v>5.3730000000000002</v>
      </c>
      <c r="E40" s="44">
        <v>4.3070000000000004</v>
      </c>
      <c r="F40" s="1" t="str">
        <f>HYPERLINK("http://www.ncbi.nlm.nih.gov/pubmed/?term=Tnfrsf1a","Tnfrsf1a")</f>
        <v>Tnfrsf1a</v>
      </c>
    </row>
    <row r="41" spans="1:6" x14ac:dyDescent="0.25">
      <c r="A41" t="s">
        <v>1205</v>
      </c>
      <c r="B41" t="s">
        <v>1329</v>
      </c>
      <c r="C41" s="31">
        <v>5.6820000000000004</v>
      </c>
      <c r="D41" s="5">
        <v>5.0220000000000002</v>
      </c>
      <c r="E41" s="5">
        <v>4.7060000000000004</v>
      </c>
      <c r="F41" s="1" t="str">
        <f>HYPERLINK("http://www.ncbi.nlm.nih.gov/pubmed/?term=Pik3r2","Pik3r2")</f>
        <v>Pik3r2</v>
      </c>
    </row>
    <row r="42" spans="1:6" x14ac:dyDescent="0.25">
      <c r="A42" t="s">
        <v>731</v>
      </c>
      <c r="B42" t="s">
        <v>1330</v>
      </c>
      <c r="C42" s="5">
        <v>4.9180000000000001</v>
      </c>
      <c r="D42" s="5">
        <v>4.8079999999999998</v>
      </c>
      <c r="E42" s="44">
        <v>3.7410000000000001</v>
      </c>
      <c r="F42" s="1" t="str">
        <f>HYPERLINK("http://www.ncbi.nlm.nih.gov/pubmed/?term=Pik3r1","Pik3r1")</f>
        <v>Pik3r1</v>
      </c>
    </row>
    <row r="43" spans="1:6" x14ac:dyDescent="0.25">
      <c r="A43" t="s">
        <v>7</v>
      </c>
      <c r="B43" t="s">
        <v>2166</v>
      </c>
      <c r="C43" s="35">
        <v>7.04</v>
      </c>
      <c r="D43" s="31">
        <v>5.9409999999999998</v>
      </c>
      <c r="E43" s="44">
        <v>3.605</v>
      </c>
      <c r="F43" s="1" t="str">
        <f>HYPERLINK("http://www.ncbi.nlm.nih.gov/pubmed/?term=Irgm1","Irgm1")</f>
        <v>Irgm1</v>
      </c>
    </row>
    <row r="44" spans="1:6" x14ac:dyDescent="0.25">
      <c r="A44" t="s">
        <v>1902</v>
      </c>
      <c r="B44" t="s">
        <v>292</v>
      </c>
      <c r="C44" s="5">
        <v>5.4859999999999998</v>
      </c>
      <c r="D44" s="5">
        <v>5.1769999999999996</v>
      </c>
      <c r="E44" s="44">
        <v>4.3440000000000003</v>
      </c>
      <c r="F44" s="1" t="str">
        <f>HYPERLINK("http://www.ncbi.nlm.nih.gov/pubmed/?term=Mapk14","Mapk14")</f>
        <v>Mapk14</v>
      </c>
    </row>
    <row r="45" spans="1:6" x14ac:dyDescent="0.25">
      <c r="A45" t="s">
        <v>2024</v>
      </c>
      <c r="B45" t="s">
        <v>15</v>
      </c>
      <c r="C45" s="44">
        <v>3.827</v>
      </c>
      <c r="D45" s="50">
        <v>2.8050000000000002</v>
      </c>
      <c r="E45" s="4">
        <v>2.2109999999999999</v>
      </c>
      <c r="F45" s="1" t="str">
        <f>HYPERLINK("http://www.ncbi.nlm.nih.gov/pubmed/?term=Bcl2","Bcl2")</f>
        <v>Bcl2</v>
      </c>
    </row>
    <row r="46" spans="1:6" x14ac:dyDescent="0.25">
      <c r="A46" t="s">
        <v>1764</v>
      </c>
      <c r="B46" t="s">
        <v>114</v>
      </c>
      <c r="C46" s="5">
        <v>5.2809999999999997</v>
      </c>
      <c r="D46" s="5">
        <v>4.6900000000000004</v>
      </c>
      <c r="E46" s="44">
        <v>4.1890000000000001</v>
      </c>
      <c r="F46" s="1" t="str">
        <f>HYPERLINK("http://www.ncbi.nlm.nih.gov/pubmed/?term=Igtp","Igtp")</f>
        <v>Igtp</v>
      </c>
    </row>
    <row r="47" spans="1:6" x14ac:dyDescent="0.25">
      <c r="A47" t="s">
        <v>1459</v>
      </c>
      <c r="B47" t="s">
        <v>473</v>
      </c>
      <c r="C47" s="50">
        <v>3.3570000000000002</v>
      </c>
      <c r="D47" s="50">
        <v>2.609</v>
      </c>
      <c r="E47" s="44">
        <v>3.7639999999999998</v>
      </c>
      <c r="F47" s="1" t="str">
        <f>HYPERLINK("http://www.ncbi.nlm.nih.gov/pubmed/?term=Tgfb1","Tgfb1")</f>
        <v>Tgfb1</v>
      </c>
    </row>
    <row r="48" spans="1:6" x14ac:dyDescent="0.25">
      <c r="A48" t="s">
        <v>1753</v>
      </c>
      <c r="B48" t="s">
        <v>252</v>
      </c>
      <c r="C48" s="5">
        <v>4.8380000000000001</v>
      </c>
      <c r="D48" s="5">
        <v>4.8330000000000002</v>
      </c>
      <c r="E48" s="35">
        <v>7.3019999999999996</v>
      </c>
      <c r="F48" s="1" t="str">
        <f>HYPERLINK("http://www.ncbi.nlm.nih.gov/pubmed/?term=Cd40","Cd40")</f>
        <v>Cd40</v>
      </c>
    </row>
    <row r="49" spans="1:6" x14ac:dyDescent="0.25">
      <c r="A49" t="s">
        <v>1852</v>
      </c>
      <c r="B49" t="s">
        <v>1070</v>
      </c>
      <c r="C49" s="6">
        <v>7.577</v>
      </c>
      <c r="D49" s="6">
        <v>7.5250000000000004</v>
      </c>
      <c r="E49" s="49">
        <v>9.6739999999999995</v>
      </c>
      <c r="F49" s="1" t="str">
        <f>HYPERLINK("http://www.ncbi.nlm.nih.gov/pubmed/?term=Nfkbia","Nfkbia")</f>
        <v>Nfkbia</v>
      </c>
    </row>
    <row r="50" spans="1:6" x14ac:dyDescent="0.25">
      <c r="A50" t="s">
        <v>1066</v>
      </c>
      <c r="B50" t="s">
        <v>981</v>
      </c>
      <c r="C50" s="31">
        <v>5.7240000000000002</v>
      </c>
      <c r="D50" s="5">
        <v>4.8490000000000002</v>
      </c>
      <c r="E50" s="35">
        <v>6.8129999999999997</v>
      </c>
      <c r="F50" s="1" t="str">
        <f>HYPERLINK("http://www.ncbi.nlm.nih.gov/pubmed/?term=Ciita","Ciita")</f>
        <v>Ciita</v>
      </c>
    </row>
    <row r="51" spans="1:6" x14ac:dyDescent="0.25">
      <c r="A51" t="s">
        <v>1324</v>
      </c>
      <c r="B51" t="s">
        <v>1429</v>
      </c>
      <c r="C51" s="5">
        <v>5.2809999999999997</v>
      </c>
      <c r="D51" s="5">
        <v>5.2389999999999999</v>
      </c>
      <c r="E51" s="6">
        <v>8.2189999999999994</v>
      </c>
      <c r="F51" s="1" t="str">
        <f>HYPERLINK("http://www.ncbi.nlm.nih.gov/pubmed/?term=H2-Oa","H2-Oa")</f>
        <v>H2-Oa</v>
      </c>
    </row>
    <row r="52" spans="1:6" x14ac:dyDescent="0.25">
      <c r="A52" t="s">
        <v>529</v>
      </c>
      <c r="B52" t="s">
        <v>1321</v>
      </c>
      <c r="C52" s="50">
        <v>3.3559999999999999</v>
      </c>
      <c r="D52" s="50">
        <v>3.198</v>
      </c>
      <c r="E52" s="5">
        <v>5.0339999999999998</v>
      </c>
      <c r="F52" s="1" t="str">
        <f>HYPERLINK("http://www.ncbi.nlm.nih.gov/pubmed/?term=Traf6","Traf6")</f>
        <v>Traf6</v>
      </c>
    </row>
    <row r="53" spans="1:6" x14ac:dyDescent="0.25">
      <c r="A53" t="s">
        <v>1675</v>
      </c>
      <c r="B53" t="s">
        <v>1069</v>
      </c>
      <c r="C53" s="5">
        <v>4.6070000000000002</v>
      </c>
      <c r="D53" s="44">
        <v>3.927</v>
      </c>
      <c r="E53" s="5">
        <v>5.1689999999999996</v>
      </c>
      <c r="F53" s="1" t="str">
        <f>HYPERLINK("http://www.ncbi.nlm.nih.gov/pubmed/?term=Nfkbib","Nfkbib")</f>
        <v>Nfkbib</v>
      </c>
    </row>
    <row r="54" spans="1:6" x14ac:dyDescent="0.25">
      <c r="A54" t="s">
        <v>528</v>
      </c>
      <c r="B54" t="s">
        <v>1739</v>
      </c>
      <c r="C54" s="49">
        <v>10.41</v>
      </c>
      <c r="D54" s="49">
        <v>10.1</v>
      </c>
      <c r="E54" s="43">
        <v>12.37</v>
      </c>
      <c r="F54" s="1" t="str">
        <f>HYPERLINK("http://www.ncbi.nlm.nih.gov/pubmed/?term=H2-Aa","H2-Aa")</f>
        <v>H2-Aa</v>
      </c>
    </row>
    <row r="55" spans="1:6" x14ac:dyDescent="0.25">
      <c r="A55" t="s">
        <v>427</v>
      </c>
      <c r="B55" t="s">
        <v>1234</v>
      </c>
      <c r="C55" s="5">
        <v>5.4820000000000002</v>
      </c>
      <c r="D55" s="5">
        <v>5.2619999999999996</v>
      </c>
      <c r="E55" s="31">
        <v>6.2539999999999996</v>
      </c>
      <c r="F55" s="1" t="str">
        <f>HYPERLINK("http://www.ncbi.nlm.nih.gov/pubmed/?term=Birc2","Birc2")</f>
        <v>Birc2</v>
      </c>
    </row>
    <row r="56" spans="1:6" x14ac:dyDescent="0.25">
      <c r="A56" t="s">
        <v>1974</v>
      </c>
      <c r="B56" t="s">
        <v>1270</v>
      </c>
      <c r="C56" s="43">
        <v>10.67</v>
      </c>
      <c r="D56" s="49">
        <v>10.31</v>
      </c>
      <c r="E56" s="43">
        <v>12.36</v>
      </c>
      <c r="F56" s="1" t="str">
        <f>HYPERLINK("http://www.ncbi.nlm.nih.gov/pubmed/?term=H2-Ab1","H2-Ab1")</f>
        <v>H2-Ab1</v>
      </c>
    </row>
    <row r="57" spans="1:6" x14ac:dyDescent="0.25">
      <c r="A57" t="s">
        <v>1468</v>
      </c>
      <c r="B57" t="s">
        <v>1716</v>
      </c>
      <c r="C57" s="5">
        <v>5.3959999999999999</v>
      </c>
      <c r="D57" s="5">
        <v>5.0060000000000002</v>
      </c>
      <c r="E57" s="35">
        <v>6.9</v>
      </c>
      <c r="F57" s="1" t="str">
        <f>HYPERLINK("http://www.ncbi.nlm.nih.gov/pubmed/?term=H2-DMb1","H2-DMb1")</f>
        <v>H2-DMb1</v>
      </c>
    </row>
    <row r="58" spans="1:6" x14ac:dyDescent="0.25">
      <c r="A58" t="s">
        <v>2191</v>
      </c>
      <c r="B58" t="s">
        <v>867</v>
      </c>
      <c r="C58" s="44">
        <v>4.2430000000000003</v>
      </c>
      <c r="D58" s="4">
        <v>2.2789999999999999</v>
      </c>
      <c r="E58" s="4">
        <v>2.3780000000000001</v>
      </c>
      <c r="F58" s="1" t="str">
        <f>HYPERLINK("http://www.ncbi.nlm.nih.gov/pubmed/?term=Pdk1","Pdk1")</f>
        <v>Pdk1</v>
      </c>
    </row>
    <row r="59" spans="1:6" x14ac:dyDescent="0.25">
      <c r="A59" t="s">
        <v>865</v>
      </c>
      <c r="B59" t="s">
        <v>1044</v>
      </c>
      <c r="C59" s="35">
        <v>6.5350000000000001</v>
      </c>
      <c r="D59" s="5">
        <v>4.9409999999999998</v>
      </c>
      <c r="E59" s="31">
        <v>6.3239999999999998</v>
      </c>
      <c r="F59" s="1" t="str">
        <f>HYPERLINK("http://www.ncbi.nlm.nih.gov/pubmed/?term=H2-DMa","H2-DMa")</f>
        <v>H2-DMa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1252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1098</v>
      </c>
      <c r="B5" t="s">
        <v>929</v>
      </c>
      <c r="C5" s="26">
        <v>-4.3019999999999996</v>
      </c>
      <c r="D5" s="18">
        <v>3.4460000000000002</v>
      </c>
      <c r="E5" s="23">
        <v>2.1880000000000002</v>
      </c>
      <c r="F5" s="1" t="str">
        <f>HYPERLINK("http://www.ncbi.nlm.nih.gov/pubmed/?term=Il10","Il10")</f>
        <v>Il10</v>
      </c>
    </row>
    <row r="6" spans="1:6" x14ac:dyDescent="0.25">
      <c r="A6" t="s">
        <v>1258</v>
      </c>
      <c r="B6" t="s">
        <v>288</v>
      </c>
      <c r="C6" s="22">
        <v>3.887</v>
      </c>
      <c r="D6" s="45">
        <v>5.8079999999999998</v>
      </c>
      <c r="E6" s="33">
        <v>4.7480000000000002</v>
      </c>
      <c r="F6" s="1" t="str">
        <f>HYPERLINK("http://www.ncbi.nlm.nih.gov/pubmed/?term=Sdc1","Sdc1")</f>
        <v>Sdc1</v>
      </c>
    </row>
    <row r="7" spans="1:6" x14ac:dyDescent="0.25">
      <c r="A7" t="s">
        <v>656</v>
      </c>
      <c r="B7" t="s">
        <v>1049</v>
      </c>
      <c r="C7" s="26">
        <v>-1.929</v>
      </c>
      <c r="D7" s="13">
        <v>0.65049999999999997</v>
      </c>
      <c r="E7" s="22">
        <v>4.242</v>
      </c>
      <c r="F7" s="1" t="str">
        <f>HYPERLINK("http://www.ncbi.nlm.nih.gov/pubmed/?term=Tnf","Tnf")</f>
        <v>Tnf</v>
      </c>
    </row>
    <row r="8" spans="1:6" x14ac:dyDescent="0.25">
      <c r="A8" t="s">
        <v>391</v>
      </c>
      <c r="B8" t="s">
        <v>558</v>
      </c>
      <c r="C8" s="26">
        <v>-2.9940000000000002</v>
      </c>
      <c r="D8" s="26">
        <v>-4.1790000000000001E-2</v>
      </c>
      <c r="E8" s="45">
        <v>6.1180000000000003</v>
      </c>
      <c r="F8" s="1" t="str">
        <f>HYPERLINK("http://www.ncbi.nlm.nih.gov/pubmed/?term=Il12a","Il12a")</f>
        <v>Il12a</v>
      </c>
    </row>
    <row r="9" spans="1:6" x14ac:dyDescent="0.25">
      <c r="A9" t="s">
        <v>1200</v>
      </c>
      <c r="B9" t="s">
        <v>295</v>
      </c>
      <c r="C9" s="23">
        <v>1.873</v>
      </c>
      <c r="D9" s="23">
        <v>1.946</v>
      </c>
      <c r="E9" s="18">
        <v>3.484</v>
      </c>
      <c r="F9" s="1" t="str">
        <f>HYPERLINK("http://www.ncbi.nlm.nih.gov/pubmed/?term=Itgal","Itgal")</f>
        <v>Itgal</v>
      </c>
    </row>
    <row r="10" spans="1:6" x14ac:dyDescent="0.25">
      <c r="A10" t="s">
        <v>840</v>
      </c>
      <c r="B10" t="s">
        <v>1445</v>
      </c>
      <c r="C10" s="26">
        <v>-4.0460000000000003</v>
      </c>
      <c r="D10" s="26">
        <v>-8.2879999999999995E-2</v>
      </c>
      <c r="E10" s="33">
        <v>4.6589999999999998</v>
      </c>
      <c r="F10" s="1" t="str">
        <f>HYPERLINK("http://www.ncbi.nlm.nih.gov/pubmed/?term=Tlr9","Tlr9")</f>
        <v>Tlr9</v>
      </c>
    </row>
    <row r="11" spans="1:6" x14ac:dyDescent="0.25">
      <c r="A11" t="s">
        <v>1882</v>
      </c>
      <c r="B11" t="s">
        <v>474</v>
      </c>
      <c r="C11" s="18">
        <v>3.1909999999999998</v>
      </c>
      <c r="D11" s="22">
        <v>4.0170000000000003</v>
      </c>
      <c r="E11" s="13">
        <v>1.3959999999999999</v>
      </c>
      <c r="F11" s="1" t="str">
        <f>HYPERLINK("http://www.ncbi.nlm.nih.gov/pubmed/?term=Tgfb3","Tgfb3")</f>
        <v>Tgfb3</v>
      </c>
    </row>
    <row r="12" spans="1:6" x14ac:dyDescent="0.25">
      <c r="A12" t="s">
        <v>943</v>
      </c>
      <c r="B12" t="s">
        <v>2045</v>
      </c>
      <c r="C12" s="26">
        <v>-1.02</v>
      </c>
      <c r="D12" s="18">
        <v>3.4670000000000001</v>
      </c>
      <c r="E12" s="26">
        <v>-1.538</v>
      </c>
      <c r="F12" s="1" t="str">
        <f>HYPERLINK("http://www.ncbi.nlm.nih.gov/pubmed/?term=Thbs4","Thbs4")</f>
        <v>Thbs4</v>
      </c>
    </row>
    <row r="13" spans="1:6" x14ac:dyDescent="0.25">
      <c r="A13" t="s">
        <v>1309</v>
      </c>
      <c r="B13" t="s">
        <v>2127</v>
      </c>
      <c r="C13" s="33">
        <v>5.1150000000000002</v>
      </c>
      <c r="D13" s="33">
        <v>5.1840000000000002</v>
      </c>
      <c r="E13" s="22">
        <v>3.8460000000000001</v>
      </c>
      <c r="F13" s="1" t="str">
        <f>HYPERLINK("http://www.ncbi.nlm.nih.gov/pubmed/?term=Cd81","Cd81")</f>
        <v>Cd81</v>
      </c>
    </row>
    <row r="14" spans="1:6" x14ac:dyDescent="0.25">
      <c r="A14" t="s">
        <v>1779</v>
      </c>
      <c r="B14" t="s">
        <v>1319</v>
      </c>
      <c r="C14" s="18">
        <v>2.8849999999999998</v>
      </c>
      <c r="D14" s="18">
        <v>3.3580000000000001</v>
      </c>
      <c r="E14" s="13">
        <v>0.73609999999999998</v>
      </c>
      <c r="F14" s="1" t="str">
        <f>HYPERLINK("http://www.ncbi.nlm.nih.gov/pubmed/?term=Lrp1","Lrp1")</f>
        <v>Lrp1</v>
      </c>
    </row>
    <row r="15" spans="1:6" x14ac:dyDescent="0.25">
      <c r="A15" t="s">
        <v>1459</v>
      </c>
      <c r="B15" t="s">
        <v>473</v>
      </c>
      <c r="C15" s="18">
        <v>3.3570000000000002</v>
      </c>
      <c r="D15" s="18">
        <v>2.609</v>
      </c>
      <c r="E15" s="22">
        <v>3.7639999999999998</v>
      </c>
      <c r="F15" s="1" t="str">
        <f>HYPERLINK("http://www.ncbi.nlm.nih.gov/pubmed/?term=Tgfb1","Tgfb1")</f>
        <v>Tgfb1</v>
      </c>
    </row>
    <row r="16" spans="1:6" x14ac:dyDescent="0.25">
      <c r="A16" t="s">
        <v>1753</v>
      </c>
      <c r="B16" t="s">
        <v>252</v>
      </c>
      <c r="C16" s="33">
        <v>4.8380000000000001</v>
      </c>
      <c r="D16" s="33">
        <v>4.8330000000000002</v>
      </c>
      <c r="E16" s="2">
        <v>7.3019999999999996</v>
      </c>
      <c r="F16" s="1" t="str">
        <f>HYPERLINK("http://www.ncbi.nlm.nih.gov/pubmed/?term=Cd40","Cd40")</f>
        <v>Cd40</v>
      </c>
    </row>
    <row r="17" spans="1:6" x14ac:dyDescent="0.25">
      <c r="A17" t="s">
        <v>546</v>
      </c>
      <c r="B17" t="s">
        <v>647</v>
      </c>
      <c r="C17" s="2">
        <v>7.0970000000000004</v>
      </c>
      <c r="D17" s="2">
        <v>6.6790000000000003</v>
      </c>
      <c r="E17" s="43">
        <v>8.57</v>
      </c>
      <c r="F17" s="1" t="str">
        <f>HYPERLINK("http://www.ncbi.nlm.nih.gov/pubmed/?term=Icam1","Icam1")</f>
        <v>Icam1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957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401</v>
      </c>
      <c r="B5" t="s">
        <v>1550</v>
      </c>
      <c r="C5" s="22">
        <v>4.8689999999999998</v>
      </c>
      <c r="D5" s="29">
        <v>6.7240000000000002</v>
      </c>
      <c r="E5" s="25">
        <v>5.7530000000000001</v>
      </c>
      <c r="F5" s="1" t="str">
        <f>HYPERLINK("http://www.ncbi.nlm.nih.gov/pubmed/?term=Ptpn6","Ptpn6")</f>
        <v>Ptpn6</v>
      </c>
    </row>
    <row r="6" spans="1:6" x14ac:dyDescent="0.25">
      <c r="A6" t="s">
        <v>2016</v>
      </c>
      <c r="B6" t="s">
        <v>1464</v>
      </c>
      <c r="C6" s="26">
        <v>-0.25159999999999999</v>
      </c>
      <c r="D6" s="22">
        <v>4.952</v>
      </c>
      <c r="E6" s="20">
        <v>0.69540000000000002</v>
      </c>
      <c r="F6" s="1" t="str">
        <f>HYPERLINK("http://www.ncbi.nlm.nih.gov/pubmed/?term=Pik3cg","Pik3cg")</f>
        <v>Pik3cg</v>
      </c>
    </row>
    <row r="7" spans="1:6" x14ac:dyDescent="0.25">
      <c r="A7" t="s">
        <v>1335</v>
      </c>
      <c r="B7" t="s">
        <v>1328</v>
      </c>
      <c r="C7" s="20">
        <v>0.53520000000000001</v>
      </c>
      <c r="D7" s="25">
        <v>5.8090000000000002</v>
      </c>
      <c r="E7" s="32">
        <v>2.5489999999999999</v>
      </c>
      <c r="F7" s="1" t="str">
        <f>HYPERLINK("http://www.ncbi.nlm.nih.gov/pubmed/?term=Pik3r5","Pik3r5")</f>
        <v>Pik3r5</v>
      </c>
    </row>
    <row r="8" spans="1:6" x14ac:dyDescent="0.25">
      <c r="A8" t="s">
        <v>1012</v>
      </c>
      <c r="B8" t="s">
        <v>608</v>
      </c>
      <c r="C8" s="20">
        <v>0.79710000000000003</v>
      </c>
      <c r="D8" s="48">
        <v>3.81</v>
      </c>
      <c r="E8" s="12">
        <v>2.1230000000000002</v>
      </c>
      <c r="F8" s="1" t="str">
        <f>HYPERLINK("http://www.ncbi.nlm.nih.gov/pubmed/?term=Pak1","Pak1")</f>
        <v>Pak1</v>
      </c>
    </row>
    <row r="9" spans="1:6" x14ac:dyDescent="0.25">
      <c r="A9" t="s">
        <v>1828</v>
      </c>
      <c r="B9" t="s">
        <v>1532</v>
      </c>
      <c r="C9" s="12">
        <v>1.986</v>
      </c>
      <c r="D9" s="25">
        <v>5.7009999999999996</v>
      </c>
      <c r="E9" s="32">
        <v>2.6230000000000002</v>
      </c>
      <c r="F9" s="1" t="str">
        <f>HYPERLINK("http://www.ncbi.nlm.nih.gov/pubmed/?term=Vav1","Vav1")</f>
        <v>Vav1</v>
      </c>
    </row>
    <row r="10" spans="1:6" x14ac:dyDescent="0.25">
      <c r="A10" t="s">
        <v>276</v>
      </c>
      <c r="B10" t="s">
        <v>1181</v>
      </c>
      <c r="C10" s="32">
        <v>2.7959999999999998</v>
      </c>
      <c r="D10" s="22">
        <v>4.8380000000000001</v>
      </c>
      <c r="E10" s="32">
        <v>3.4089999999999998</v>
      </c>
      <c r="F10" s="1" t="str">
        <f>HYPERLINK("http://www.ncbi.nlm.nih.gov/pubmed/?term=Plcg2","Plcg2")</f>
        <v>Plcg2</v>
      </c>
    </row>
    <row r="11" spans="1:6" x14ac:dyDescent="0.25">
      <c r="A11" t="s">
        <v>2029</v>
      </c>
      <c r="B11" t="s">
        <v>1738</v>
      </c>
      <c r="C11" s="26">
        <v>-0.31380000000000002</v>
      </c>
      <c r="D11" s="48">
        <v>4.351</v>
      </c>
      <c r="E11" s="12">
        <v>1.8069999999999999</v>
      </c>
      <c r="F11" s="1" t="str">
        <f>HYPERLINK("http://www.ncbi.nlm.nih.gov/pubmed/?term=Tnfsf10","Tnfsf10")</f>
        <v>Tnfsf10</v>
      </c>
    </row>
    <row r="12" spans="1:6" x14ac:dyDescent="0.25">
      <c r="A12" t="s">
        <v>1208</v>
      </c>
      <c r="B12" t="s">
        <v>587</v>
      </c>
      <c r="C12" s="48">
        <v>3.6619999999999999</v>
      </c>
      <c r="D12" s="25">
        <v>5.7629999999999999</v>
      </c>
      <c r="E12" s="48">
        <v>4.4850000000000003</v>
      </c>
      <c r="F12" s="1" t="str">
        <f>HYPERLINK("http://www.ncbi.nlm.nih.gov/pubmed/?term=H2-T22","H2-T22")</f>
        <v>H2-T22</v>
      </c>
    </row>
    <row r="13" spans="1:6" x14ac:dyDescent="0.25">
      <c r="A13" t="s">
        <v>85</v>
      </c>
      <c r="B13" t="s">
        <v>1966</v>
      </c>
      <c r="C13" s="22">
        <v>4.7370000000000001</v>
      </c>
      <c r="D13" s="24">
        <v>8.1150000000000002</v>
      </c>
      <c r="E13" s="24">
        <v>7.9050000000000002</v>
      </c>
      <c r="F13" s="1" t="str">
        <f>HYPERLINK("http://www.ncbi.nlm.nih.gov/pubmed/?term=H2-Q6","H2-Q6")</f>
        <v>H2-Q6</v>
      </c>
    </row>
    <row r="14" spans="1:6" x14ac:dyDescent="0.25">
      <c r="A14" t="s">
        <v>421</v>
      </c>
      <c r="B14" t="s">
        <v>1535</v>
      </c>
      <c r="C14" s="12">
        <v>2.2810000000000001</v>
      </c>
      <c r="D14" s="32">
        <v>2.8679999999999999</v>
      </c>
      <c r="E14" s="48">
        <v>4.0170000000000003</v>
      </c>
      <c r="F14" s="1" t="str">
        <f>HYPERLINK("http://www.ncbi.nlm.nih.gov/pubmed/?term=Vav2","Vav2")</f>
        <v>Vav2</v>
      </c>
    </row>
    <row r="15" spans="1:6" x14ac:dyDescent="0.25">
      <c r="A15" t="s">
        <v>926</v>
      </c>
      <c r="B15" t="s">
        <v>1104</v>
      </c>
      <c r="C15" s="48">
        <v>3.8570000000000002</v>
      </c>
      <c r="D15" s="22">
        <v>4.992</v>
      </c>
      <c r="E15" s="25">
        <v>5.6529999999999996</v>
      </c>
      <c r="F15" s="1" t="str">
        <f>HYPERLINK("http://www.ncbi.nlm.nih.gov/pubmed/?term=H2-M3","H2-M3")</f>
        <v>H2-M3</v>
      </c>
    </row>
    <row r="16" spans="1:6" x14ac:dyDescent="0.25">
      <c r="A16" t="s">
        <v>1861</v>
      </c>
      <c r="B16" t="s">
        <v>1105</v>
      </c>
      <c r="C16" s="48">
        <v>4.3949999999999996</v>
      </c>
      <c r="D16" s="29">
        <v>6.8019999999999996</v>
      </c>
      <c r="E16" s="29">
        <v>7.444</v>
      </c>
      <c r="F16" s="1" t="str">
        <f>HYPERLINK("http://www.ncbi.nlm.nih.gov/pubmed/?term=H2-M2","H2-M2")</f>
        <v>H2-M2</v>
      </c>
    </row>
    <row r="17" spans="1:6" x14ac:dyDescent="0.25">
      <c r="A17" t="s">
        <v>1599</v>
      </c>
      <c r="B17" t="s">
        <v>225</v>
      </c>
      <c r="C17" s="20">
        <v>0.73909999999999998</v>
      </c>
      <c r="D17" s="32">
        <v>3.1890000000000001</v>
      </c>
      <c r="E17" s="22">
        <v>4.5190000000000001</v>
      </c>
      <c r="F17" s="1" t="str">
        <f>HYPERLINK("http://www.ncbi.nlm.nih.gov/pubmed/?term=Syk","Syk")</f>
        <v>Syk</v>
      </c>
    </row>
    <row r="18" spans="1:6" x14ac:dyDescent="0.25">
      <c r="A18" t="s">
        <v>656</v>
      </c>
      <c r="B18" t="s">
        <v>1049</v>
      </c>
      <c r="C18" s="26">
        <v>-1.929</v>
      </c>
      <c r="D18" s="20">
        <v>0.65049999999999997</v>
      </c>
      <c r="E18" s="48">
        <v>4.242</v>
      </c>
      <c r="F18" s="1" t="str">
        <f>HYPERLINK("http://www.ncbi.nlm.nih.gov/pubmed/?term=Tnf","Tnf")</f>
        <v>Tnf</v>
      </c>
    </row>
    <row r="19" spans="1:6" x14ac:dyDescent="0.25">
      <c r="A19" t="s">
        <v>986</v>
      </c>
      <c r="B19" t="s">
        <v>2073</v>
      </c>
      <c r="C19" s="12">
        <v>2.4039999999999999</v>
      </c>
      <c r="D19" s="48">
        <v>4.0590000000000002</v>
      </c>
      <c r="E19" s="25">
        <v>6.069</v>
      </c>
      <c r="F19" s="1" t="str">
        <f>HYPERLINK("http://www.ncbi.nlm.nih.gov/pubmed/?term=Fas","Fas")</f>
        <v>Fas</v>
      </c>
    </row>
    <row r="20" spans="1:6" x14ac:dyDescent="0.25">
      <c r="A20" t="s">
        <v>842</v>
      </c>
      <c r="B20" t="s">
        <v>1041</v>
      </c>
      <c r="C20" s="26">
        <v>6.5780000000000005E-2</v>
      </c>
      <c r="D20" s="32">
        <v>2.7519999999999998</v>
      </c>
      <c r="E20" s="22">
        <v>4.6470000000000002</v>
      </c>
      <c r="F20" s="1" t="str">
        <f>HYPERLINK("http://www.ncbi.nlm.nih.gov/pubmed/?term=Nfatc2","Nfatc2")</f>
        <v>Nfatc2</v>
      </c>
    </row>
    <row r="21" spans="1:6" x14ac:dyDescent="0.25">
      <c r="A21" t="s">
        <v>1200</v>
      </c>
      <c r="B21" t="s">
        <v>295</v>
      </c>
      <c r="C21" s="12">
        <v>1.873</v>
      </c>
      <c r="D21" s="12">
        <v>1.946</v>
      </c>
      <c r="E21" s="32">
        <v>3.484</v>
      </c>
      <c r="F21" s="1" t="str">
        <f>HYPERLINK("http://www.ncbi.nlm.nih.gov/pubmed/?term=Itgal","Itgal")</f>
        <v>Itgal</v>
      </c>
    </row>
    <row r="22" spans="1:6" x14ac:dyDescent="0.25">
      <c r="A22" t="s">
        <v>333</v>
      </c>
      <c r="B22" t="s">
        <v>1460</v>
      </c>
      <c r="C22" s="26">
        <v>0.44829999999999998</v>
      </c>
      <c r="D22" s="12">
        <v>2.1360000000000001</v>
      </c>
      <c r="E22" s="48">
        <v>3.8809999999999998</v>
      </c>
      <c r="F22" s="1" t="str">
        <f>HYPERLINK("http://www.ncbi.nlm.nih.gov/pubmed/?term=Pik3cb","Pik3cb")</f>
        <v>Pik3cb</v>
      </c>
    </row>
    <row r="23" spans="1:6" x14ac:dyDescent="0.25">
      <c r="A23" t="s">
        <v>674</v>
      </c>
      <c r="B23" t="s">
        <v>1949</v>
      </c>
      <c r="C23" s="32">
        <v>2.6110000000000002</v>
      </c>
      <c r="D23" s="48">
        <v>4.2789999999999999</v>
      </c>
      <c r="E23" s="29">
        <v>6.8239999999999998</v>
      </c>
      <c r="F23" s="1" t="str">
        <f>HYPERLINK("http://www.ncbi.nlm.nih.gov/pubmed/?term=Rac2","Rac2")</f>
        <v>Rac2</v>
      </c>
    </row>
    <row r="24" spans="1:6" x14ac:dyDescent="0.25">
      <c r="A24" t="s">
        <v>222</v>
      </c>
      <c r="B24" t="s">
        <v>791</v>
      </c>
      <c r="C24" s="26">
        <v>-1.3029999999999999</v>
      </c>
      <c r="D24" s="26">
        <v>-0.62109999999999999</v>
      </c>
      <c r="E24" s="22">
        <v>5.4359999999999999</v>
      </c>
      <c r="F24" s="1" t="str">
        <f>HYPERLINK("http://www.ncbi.nlm.nih.gov/pubmed/?term=Fcer1g","Fcer1g")</f>
        <v>Fcer1g</v>
      </c>
    </row>
    <row r="25" spans="1:6" x14ac:dyDescent="0.25">
      <c r="A25" t="s">
        <v>1336</v>
      </c>
      <c r="B25" t="s">
        <v>895</v>
      </c>
      <c r="C25" s="20">
        <v>0.75729999999999997</v>
      </c>
      <c r="D25" s="48">
        <v>4.1239999999999997</v>
      </c>
      <c r="E25" s="29">
        <v>7.1379999999999999</v>
      </c>
      <c r="F25" s="1" t="str">
        <f>HYPERLINK("http://www.ncbi.nlm.nih.gov/pubmed/?term=Ptk2b","Ptk2b")</f>
        <v>Ptk2b</v>
      </c>
    </row>
    <row r="26" spans="1:6" x14ac:dyDescent="0.25">
      <c r="A26" t="s">
        <v>1311</v>
      </c>
      <c r="B26" t="s">
        <v>1431</v>
      </c>
      <c r="C26" s="48">
        <v>4.4509999999999996</v>
      </c>
      <c r="D26" s="24">
        <v>8.4649999999999999</v>
      </c>
      <c r="E26" s="46">
        <v>8.5500000000000007</v>
      </c>
      <c r="F26" s="1" t="str">
        <f>HYPERLINK("http://www.ncbi.nlm.nih.gov/pubmed/?term=H2-Q7","H2-Q7")</f>
        <v>H2-Q7</v>
      </c>
    </row>
    <row r="27" spans="1:6" x14ac:dyDescent="0.25">
      <c r="A27" t="s">
        <v>300</v>
      </c>
      <c r="B27" t="s">
        <v>809</v>
      </c>
      <c r="C27" s="46">
        <v>8.6720000000000006</v>
      </c>
      <c r="D27" s="43">
        <v>10.43</v>
      </c>
      <c r="E27" s="43">
        <v>10.72</v>
      </c>
      <c r="F27" s="1" t="str">
        <f>HYPERLINK("http://www.ncbi.nlm.nih.gov/pubmed/?term=H2-K1","H2-K1")</f>
        <v>H2-K1</v>
      </c>
    </row>
    <row r="28" spans="1:6" x14ac:dyDescent="0.25">
      <c r="A28" t="s">
        <v>2141</v>
      </c>
      <c r="B28" t="s">
        <v>157</v>
      </c>
      <c r="C28" s="12">
        <v>2.1930000000000001</v>
      </c>
      <c r="D28" s="48">
        <v>4.2409999999999997</v>
      </c>
      <c r="E28" s="22">
        <v>4.5410000000000004</v>
      </c>
      <c r="F28" s="1" t="str">
        <f>HYPERLINK("http://www.ncbi.nlm.nih.gov/pubmed/?term=H2-Q10","H2-Q10")</f>
        <v>H2-Q10</v>
      </c>
    </row>
    <row r="29" spans="1:6" x14ac:dyDescent="0.25">
      <c r="A29" t="s">
        <v>247</v>
      </c>
      <c r="B29" t="s">
        <v>265</v>
      </c>
      <c r="C29" s="24">
        <v>8.1630000000000003</v>
      </c>
      <c r="D29" s="43">
        <v>10.1</v>
      </c>
      <c r="E29" s="43">
        <v>10.33</v>
      </c>
      <c r="F29" s="1" t="str">
        <f>HYPERLINK("http://www.ncbi.nlm.nih.gov/pubmed/?term=H2-D1","H2-D1")</f>
        <v>H2-D1</v>
      </c>
    </row>
    <row r="30" spans="1:6" x14ac:dyDescent="0.25">
      <c r="A30" t="s">
        <v>1004</v>
      </c>
      <c r="B30" t="s">
        <v>1240</v>
      </c>
      <c r="C30" s="22">
        <v>4.9240000000000004</v>
      </c>
      <c r="D30" s="22">
        <v>5.14</v>
      </c>
      <c r="E30" s="48">
        <v>3.9609999999999999</v>
      </c>
      <c r="F30" s="1" t="str">
        <f>HYPERLINK("http://www.ncbi.nlm.nih.gov/pubmed/?term=Nfat5","Nfat5")</f>
        <v>Nfat5</v>
      </c>
    </row>
    <row r="31" spans="1:6" x14ac:dyDescent="0.25">
      <c r="A31" t="s">
        <v>1747</v>
      </c>
      <c r="B31" t="s">
        <v>1617</v>
      </c>
      <c r="C31" s="48">
        <v>4.47</v>
      </c>
      <c r="D31" s="25">
        <v>5.5170000000000003</v>
      </c>
      <c r="E31" s="48">
        <v>3.8849999999999998</v>
      </c>
      <c r="F31" s="1" t="str">
        <f>HYPERLINK("http://www.ncbi.nlm.nih.gov/pubmed/?term=Ifngr1","Ifngr1")</f>
        <v>Ifngr1</v>
      </c>
    </row>
    <row r="32" spans="1:6" x14ac:dyDescent="0.25">
      <c r="A32" t="s">
        <v>1326</v>
      </c>
      <c r="B32" t="s">
        <v>1699</v>
      </c>
      <c r="C32" s="48">
        <v>4.1829999999999998</v>
      </c>
      <c r="D32" s="22">
        <v>4.7720000000000002</v>
      </c>
      <c r="E32" s="48">
        <v>3.6880000000000002</v>
      </c>
      <c r="F32" s="1" t="str">
        <f>HYPERLINK("http://www.ncbi.nlm.nih.gov/pubmed/?term=Ifnar2","Ifnar2")</f>
        <v>Ifnar2</v>
      </c>
    </row>
    <row r="33" spans="1:6" x14ac:dyDescent="0.25">
      <c r="A33" t="s">
        <v>1334</v>
      </c>
      <c r="B33" t="s">
        <v>5</v>
      </c>
      <c r="C33" s="32">
        <v>3.4769999999999999</v>
      </c>
      <c r="D33" s="48">
        <v>3.6840000000000002</v>
      </c>
      <c r="E33" s="32">
        <v>2.5219999999999998</v>
      </c>
      <c r="F33" s="1" t="str">
        <f>HYPERLINK("http://www.ncbi.nlm.nih.gov/pubmed/?term=Sos1","Sos1")</f>
        <v>Sos1</v>
      </c>
    </row>
    <row r="34" spans="1:6" x14ac:dyDescent="0.25">
      <c r="A34" t="s">
        <v>534</v>
      </c>
      <c r="B34" t="s">
        <v>1534</v>
      </c>
      <c r="C34" s="48">
        <v>3.738</v>
      </c>
      <c r="D34" s="22">
        <v>4.6950000000000003</v>
      </c>
      <c r="E34" s="32">
        <v>3.3279999999999998</v>
      </c>
      <c r="F34" s="1" t="str">
        <f>HYPERLINK("http://www.ncbi.nlm.nih.gov/pubmed/?term=Vav3","Vav3")</f>
        <v>Vav3</v>
      </c>
    </row>
    <row r="35" spans="1:6" x14ac:dyDescent="0.25">
      <c r="A35" t="s">
        <v>1803</v>
      </c>
      <c r="B35" t="s">
        <v>1393</v>
      </c>
      <c r="C35" s="22">
        <v>4.6040000000000001</v>
      </c>
      <c r="D35" s="12">
        <v>1.738</v>
      </c>
      <c r="E35" s="20">
        <v>1.3029999999999999</v>
      </c>
      <c r="F35" s="1" t="str">
        <f>HYPERLINK("http://www.ncbi.nlm.nih.gov/pubmed/?term=Lck","Lck")</f>
        <v>Lck</v>
      </c>
    </row>
    <row r="36" spans="1:6" x14ac:dyDescent="0.25">
      <c r="A36" t="s">
        <v>78</v>
      </c>
      <c r="B36" t="s">
        <v>1182</v>
      </c>
      <c r="C36" s="22">
        <v>4.6639999999999997</v>
      </c>
      <c r="D36" s="22">
        <v>4.6269999999999998</v>
      </c>
      <c r="E36" s="32">
        <v>2.9020000000000001</v>
      </c>
      <c r="F36" s="1" t="str">
        <f>HYPERLINK("http://www.ncbi.nlm.nih.gov/pubmed/?term=Plcg1","Plcg1")</f>
        <v>Plcg1</v>
      </c>
    </row>
    <row r="37" spans="1:6" x14ac:dyDescent="0.25">
      <c r="A37" t="s">
        <v>807</v>
      </c>
      <c r="B37" t="s">
        <v>1950</v>
      </c>
      <c r="C37" s="22">
        <v>5.1239999999999997</v>
      </c>
      <c r="D37" s="32">
        <v>3.4119999999999999</v>
      </c>
      <c r="E37" s="22">
        <v>5.2290000000000001</v>
      </c>
      <c r="F37" s="1" t="str">
        <f>HYPERLINK("http://www.ncbi.nlm.nih.gov/pubmed/?term=Rac3","Rac3")</f>
        <v>Rac3</v>
      </c>
    </row>
    <row r="38" spans="1:6" x14ac:dyDescent="0.25">
      <c r="A38" t="s">
        <v>408</v>
      </c>
      <c r="B38" t="s">
        <v>540</v>
      </c>
      <c r="C38" s="48">
        <v>3.67</v>
      </c>
      <c r="D38" s="32">
        <v>3.2509999999999999</v>
      </c>
      <c r="E38" s="22">
        <v>5.1109999999999998</v>
      </c>
      <c r="F38" s="1" t="str">
        <f>HYPERLINK("http://www.ncbi.nlm.nih.gov/pubmed/?term=Tnfrsf10b","Tnfrsf10b")</f>
        <v>Tnfrsf10b</v>
      </c>
    </row>
    <row r="39" spans="1:6" x14ac:dyDescent="0.25">
      <c r="A39" t="s">
        <v>546</v>
      </c>
      <c r="B39" t="s">
        <v>647</v>
      </c>
      <c r="C39" s="29">
        <v>7.0970000000000004</v>
      </c>
      <c r="D39" s="29">
        <v>6.6790000000000003</v>
      </c>
      <c r="E39" s="46">
        <v>8.57</v>
      </c>
      <c r="F39" s="1" t="str">
        <f>HYPERLINK("http://www.ncbi.nlm.nih.gov/pubmed/?term=Icam1","Icam1")</f>
        <v>Icam1</v>
      </c>
    </row>
    <row r="40" spans="1:6" x14ac:dyDescent="0.25">
      <c r="A40" t="s">
        <v>1880</v>
      </c>
      <c r="B40" t="s">
        <v>1077</v>
      </c>
      <c r="C40" s="48">
        <v>3.6549999999999998</v>
      </c>
      <c r="D40" s="32">
        <v>3.3140000000000001</v>
      </c>
      <c r="E40" s="25">
        <v>6.2270000000000003</v>
      </c>
      <c r="F40" s="1" t="str">
        <f>HYPERLINK("http://www.ncbi.nlm.nih.gov/pubmed/?term=Prkca","Prkca")</f>
        <v>Prkca</v>
      </c>
    </row>
    <row r="41" spans="1:6" x14ac:dyDescent="0.25">
      <c r="A41" t="s">
        <v>1660</v>
      </c>
      <c r="B41" t="s">
        <v>2069</v>
      </c>
      <c r="C41" s="48">
        <v>3.8090000000000002</v>
      </c>
      <c r="D41" s="26">
        <v>-1.27</v>
      </c>
      <c r="E41" s="26">
        <v>-1.117</v>
      </c>
      <c r="F41" s="1" t="str">
        <f>HYPERLINK("http://www.ncbi.nlm.nih.gov/pubmed/?term=Itgb2","Itgb2")</f>
        <v>Itgb2</v>
      </c>
    </row>
    <row r="42" spans="1:6" x14ac:dyDescent="0.25">
      <c r="A42" t="s">
        <v>159</v>
      </c>
      <c r="B42" t="s">
        <v>1644</v>
      </c>
      <c r="C42" s="29">
        <v>6.5579999999999998</v>
      </c>
      <c r="D42" s="22">
        <v>4.7640000000000002</v>
      </c>
      <c r="E42" s="22">
        <v>5.4039999999999999</v>
      </c>
      <c r="F42" s="1" t="str">
        <f>HYPERLINK("http://www.ncbi.nlm.nih.gov/pubmed/?term=Map2k1","Map2k1")</f>
        <v>Map2k1</v>
      </c>
    </row>
    <row r="43" spans="1:6" x14ac:dyDescent="0.25">
      <c r="A43" t="s">
        <v>1967</v>
      </c>
      <c r="B43" t="s">
        <v>898</v>
      </c>
      <c r="C43" s="22">
        <v>5.2279999999999998</v>
      </c>
      <c r="D43" s="48">
        <v>3.9319999999999999</v>
      </c>
      <c r="E43" s="48">
        <v>4.4470000000000001</v>
      </c>
      <c r="F43" s="1" t="str">
        <f>HYPERLINK("http://www.ncbi.nlm.nih.gov/pubmed/?term=Kras","Kras")</f>
        <v>Kras</v>
      </c>
    </row>
    <row r="44" spans="1:6" x14ac:dyDescent="0.25">
      <c r="A44" t="s">
        <v>522</v>
      </c>
      <c r="B44" t="s">
        <v>1073</v>
      </c>
      <c r="C44" s="48">
        <v>4.03</v>
      </c>
      <c r="D44" s="26">
        <v>-0.30590000000000001</v>
      </c>
      <c r="E44" s="26">
        <v>0.31240000000000001</v>
      </c>
      <c r="F44" s="1" t="str">
        <f>HYPERLINK("http://www.ncbi.nlm.nih.gov/pubmed/?term=Lat","Lat")</f>
        <v>Lat</v>
      </c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1728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37">
        <v>2.2389999999999999</v>
      </c>
      <c r="D5" s="9">
        <v>7.0960000000000001</v>
      </c>
      <c r="E5" s="19">
        <v>5.49</v>
      </c>
      <c r="F5" s="1" t="str">
        <f>HYPERLINK("http://www.ncbi.nlm.nih.gov/pubmed/?term=Mapk13","Mapk13")</f>
        <v>Mapk13</v>
      </c>
    </row>
    <row r="6" spans="1:6" x14ac:dyDescent="0.25">
      <c r="A6" t="s">
        <v>1098</v>
      </c>
      <c r="B6" t="s">
        <v>929</v>
      </c>
      <c r="C6" s="26">
        <v>-4.3019999999999996</v>
      </c>
      <c r="D6" s="41">
        <v>3.4460000000000002</v>
      </c>
      <c r="E6" s="37">
        <v>2.1880000000000002</v>
      </c>
      <c r="F6" s="1" t="str">
        <f>HYPERLINK("http://www.ncbi.nlm.nih.gov/pubmed/?term=Il10","Il10")</f>
        <v>Il10</v>
      </c>
    </row>
    <row r="7" spans="1:6" x14ac:dyDescent="0.25">
      <c r="A7" t="s">
        <v>2016</v>
      </c>
      <c r="B7" t="s">
        <v>1464</v>
      </c>
      <c r="C7" s="26">
        <v>-0.25159999999999999</v>
      </c>
      <c r="D7" s="19">
        <v>4.952</v>
      </c>
      <c r="E7" s="8">
        <v>0.69540000000000002</v>
      </c>
      <c r="F7" s="1" t="str">
        <f>HYPERLINK("http://www.ncbi.nlm.nih.gov/pubmed/?term=Pik3cg","Pik3cg")</f>
        <v>Pik3cg</v>
      </c>
    </row>
    <row r="8" spans="1:6" x14ac:dyDescent="0.25">
      <c r="A8" t="s">
        <v>1335</v>
      </c>
      <c r="B8" t="s">
        <v>1328</v>
      </c>
      <c r="C8" s="8">
        <v>0.53520000000000001</v>
      </c>
      <c r="D8" s="3">
        <v>5.8090000000000002</v>
      </c>
      <c r="E8" s="41">
        <v>2.5489999999999999</v>
      </c>
      <c r="F8" s="1" t="str">
        <f>HYPERLINK("http://www.ncbi.nlm.nih.gov/pubmed/?term=Pik3r5","Pik3r5")</f>
        <v>Pik3r5</v>
      </c>
    </row>
    <row r="9" spans="1:6" x14ac:dyDescent="0.25">
      <c r="A9" t="s">
        <v>1114</v>
      </c>
      <c r="B9" t="s">
        <v>336</v>
      </c>
      <c r="C9" s="37">
        <v>2.2010000000000001</v>
      </c>
      <c r="D9" s="43">
        <v>8.5250000000000004</v>
      </c>
      <c r="E9" s="39">
        <v>8.0510000000000002</v>
      </c>
      <c r="F9" s="1" t="str">
        <f>HYPERLINK("http://www.ncbi.nlm.nih.gov/pubmed/?term=C3","C3")</f>
        <v>C3</v>
      </c>
    </row>
    <row r="10" spans="1:6" x14ac:dyDescent="0.25">
      <c r="A10" t="s">
        <v>1212</v>
      </c>
      <c r="B10" t="s">
        <v>1935</v>
      </c>
      <c r="C10" s="26">
        <v>-0.58730000000000004</v>
      </c>
      <c r="D10" s="3">
        <v>6.1760000000000002</v>
      </c>
      <c r="E10" s="41">
        <v>2.665</v>
      </c>
      <c r="F10" s="1" t="str">
        <f>HYPERLINK("http://www.ncbi.nlm.nih.gov/pubmed/?term=Plcb2","Plcb2")</f>
        <v>Plcb2</v>
      </c>
    </row>
    <row r="11" spans="1:6" x14ac:dyDescent="0.25">
      <c r="A11" t="s">
        <v>234</v>
      </c>
      <c r="B11" t="s">
        <v>799</v>
      </c>
      <c r="C11" s="39">
        <v>8.0500000000000007</v>
      </c>
      <c r="D11" s="39">
        <v>8.2680000000000007</v>
      </c>
      <c r="E11" s="43">
        <v>9.3420000000000005</v>
      </c>
      <c r="F11" s="1" t="str">
        <f>HYPERLINK("http://www.ncbi.nlm.nih.gov/pubmed/?term=Calr","Calr")</f>
        <v>Calr</v>
      </c>
    </row>
    <row r="12" spans="1:6" x14ac:dyDescent="0.25">
      <c r="A12" t="s">
        <v>1173</v>
      </c>
      <c r="B12" t="s">
        <v>1060</v>
      </c>
      <c r="C12" s="26">
        <v>-1.2470000000000001</v>
      </c>
      <c r="D12" s="37">
        <v>2.052</v>
      </c>
      <c r="E12" s="9">
        <v>7.4489999999999998</v>
      </c>
      <c r="F12" s="1" t="str">
        <f>HYPERLINK("http://www.ncbi.nlm.nih.gov/pubmed/?term=Nos2","Nos2")</f>
        <v>Nos2</v>
      </c>
    </row>
    <row r="13" spans="1:6" x14ac:dyDescent="0.25">
      <c r="A13" t="s">
        <v>1089</v>
      </c>
      <c r="B13" t="s">
        <v>184</v>
      </c>
      <c r="C13" s="8">
        <v>1.4219999999999999</v>
      </c>
      <c r="D13" s="37">
        <v>2.3879999999999999</v>
      </c>
      <c r="E13" s="41">
        <v>3.488</v>
      </c>
      <c r="F13" s="1" t="str">
        <f>HYPERLINK("http://www.ncbi.nlm.nih.gov/pubmed/?term=Bdkrb2","Bdkrb2")</f>
        <v>Bdkrb2</v>
      </c>
    </row>
    <row r="14" spans="1:6" x14ac:dyDescent="0.25">
      <c r="A14" t="s">
        <v>1487</v>
      </c>
      <c r="B14" t="s">
        <v>1618</v>
      </c>
      <c r="C14" s="15">
        <v>4.0289999999999999</v>
      </c>
      <c r="D14" s="19">
        <v>4.91</v>
      </c>
      <c r="E14" s="19">
        <v>5.2249999999999996</v>
      </c>
      <c r="F14" s="1" t="str">
        <f>HYPERLINK("http://www.ncbi.nlm.nih.gov/pubmed/?term=Ifngr2","Ifngr2")</f>
        <v>Ifngr2</v>
      </c>
    </row>
    <row r="15" spans="1:6" x14ac:dyDescent="0.25">
      <c r="A15" t="s">
        <v>656</v>
      </c>
      <c r="B15" t="s">
        <v>1049</v>
      </c>
      <c r="C15" s="26">
        <v>-1.929</v>
      </c>
      <c r="D15" s="8">
        <v>0.65049999999999997</v>
      </c>
      <c r="E15" s="15">
        <v>4.242</v>
      </c>
      <c r="F15" s="1" t="str">
        <f>HYPERLINK("http://www.ncbi.nlm.nih.gov/pubmed/?term=Tnf","Tnf")</f>
        <v>Tnf</v>
      </c>
    </row>
    <row r="16" spans="1:6" x14ac:dyDescent="0.25">
      <c r="A16" t="s">
        <v>986</v>
      </c>
      <c r="B16" t="s">
        <v>2073</v>
      </c>
      <c r="C16" s="37">
        <v>2.4039999999999999</v>
      </c>
      <c r="D16" s="15">
        <v>4.0590000000000002</v>
      </c>
      <c r="E16" s="3">
        <v>6.069</v>
      </c>
      <c r="F16" s="1" t="str">
        <f>HYPERLINK("http://www.ncbi.nlm.nih.gov/pubmed/?term=Fas","Fas")</f>
        <v>Fas</v>
      </c>
    </row>
    <row r="17" spans="1:6" x14ac:dyDescent="0.25">
      <c r="A17" t="s">
        <v>391</v>
      </c>
      <c r="B17" t="s">
        <v>558</v>
      </c>
      <c r="C17" s="26">
        <v>-2.9940000000000002</v>
      </c>
      <c r="D17" s="26">
        <v>-4.1790000000000001E-2</v>
      </c>
      <c r="E17" s="3">
        <v>6.1180000000000003</v>
      </c>
      <c r="F17" s="1" t="str">
        <f>HYPERLINK("http://www.ncbi.nlm.nih.gov/pubmed/?term=Il12a","Il12a")</f>
        <v>Il12a</v>
      </c>
    </row>
    <row r="18" spans="1:6" x14ac:dyDescent="0.25">
      <c r="A18" t="s">
        <v>1352</v>
      </c>
      <c r="B18" t="s">
        <v>2160</v>
      </c>
      <c r="C18" s="19">
        <v>4.5460000000000003</v>
      </c>
      <c r="D18" s="19">
        <v>4.9820000000000002</v>
      </c>
      <c r="E18" s="3">
        <v>6.2560000000000002</v>
      </c>
      <c r="F18" s="1" t="str">
        <f>HYPERLINK("http://www.ncbi.nlm.nih.gov/pubmed/?term=Ikbkb","Ikbkb")</f>
        <v>Ikbkb</v>
      </c>
    </row>
    <row r="19" spans="1:6" x14ac:dyDescent="0.25">
      <c r="A19" t="s">
        <v>333</v>
      </c>
      <c r="B19" t="s">
        <v>1460</v>
      </c>
      <c r="C19" s="26">
        <v>0.44829999999999998</v>
      </c>
      <c r="D19" s="37">
        <v>2.1360000000000001</v>
      </c>
      <c r="E19" s="15">
        <v>3.8809999999999998</v>
      </c>
      <c r="F19" s="1" t="str">
        <f>HYPERLINK("http://www.ncbi.nlm.nih.gov/pubmed/?term=Pik3cb","Pik3cb")</f>
        <v>Pik3cb</v>
      </c>
    </row>
    <row r="20" spans="1:6" x14ac:dyDescent="0.25">
      <c r="A20" t="s">
        <v>22</v>
      </c>
      <c r="B20" t="s">
        <v>1430</v>
      </c>
      <c r="C20" s="41">
        <v>2.6739999999999999</v>
      </c>
      <c r="D20" s="41">
        <v>3.2469999999999999</v>
      </c>
      <c r="E20" s="19">
        <v>5.35</v>
      </c>
      <c r="F20" s="1" t="str">
        <f>HYPERLINK("http://www.ncbi.nlm.nih.gov/pubmed/?term=Ccl5","Ccl5")</f>
        <v>Ccl5</v>
      </c>
    </row>
    <row r="21" spans="1:6" x14ac:dyDescent="0.25">
      <c r="A21" t="s">
        <v>707</v>
      </c>
      <c r="B21" t="s">
        <v>1198</v>
      </c>
      <c r="C21" s="26">
        <v>-0.31469999999999998</v>
      </c>
      <c r="D21" s="41">
        <v>3.1179999999999999</v>
      </c>
      <c r="E21" s="15">
        <v>3.6549999999999998</v>
      </c>
      <c r="F21" s="1" t="str">
        <f>HYPERLINK("http://www.ncbi.nlm.nih.gov/pubmed/?term=Serpine1","Serpine1")</f>
        <v>Serpine1</v>
      </c>
    </row>
    <row r="22" spans="1:6" x14ac:dyDescent="0.25">
      <c r="A22" t="s">
        <v>840</v>
      </c>
      <c r="B22" t="s">
        <v>1445</v>
      </c>
      <c r="C22" s="26">
        <v>-4.0460000000000003</v>
      </c>
      <c r="D22" s="26">
        <v>-8.2879999999999995E-2</v>
      </c>
      <c r="E22" s="19">
        <v>4.6589999999999998</v>
      </c>
      <c r="F22" s="1" t="str">
        <f>HYPERLINK("http://www.ncbi.nlm.nih.gov/pubmed/?term=Tlr9","Tlr9")</f>
        <v>Tlr9</v>
      </c>
    </row>
    <row r="23" spans="1:6" x14ac:dyDescent="0.25">
      <c r="A23" t="s">
        <v>1747</v>
      </c>
      <c r="B23" t="s">
        <v>1617</v>
      </c>
      <c r="C23" s="15">
        <v>4.47</v>
      </c>
      <c r="D23" s="3">
        <v>5.5170000000000003</v>
      </c>
      <c r="E23" s="15">
        <v>3.8849999999999998</v>
      </c>
      <c r="F23" s="1" t="str">
        <f>HYPERLINK("http://www.ncbi.nlm.nih.gov/pubmed/?term=Ifngr1","Ifngr1")</f>
        <v>Ifngr1</v>
      </c>
    </row>
    <row r="24" spans="1:6" x14ac:dyDescent="0.25">
      <c r="A24" t="s">
        <v>1045</v>
      </c>
      <c r="B24" t="s">
        <v>1412</v>
      </c>
      <c r="C24" s="39">
        <v>8.2629999999999999</v>
      </c>
      <c r="D24" s="43">
        <v>8.5969999999999995</v>
      </c>
      <c r="E24" s="9">
        <v>6.7990000000000004</v>
      </c>
      <c r="F24" s="1" t="str">
        <f>HYPERLINK("http://www.ncbi.nlm.nih.gov/pubmed/?term=Fos","Fos")</f>
        <v>Fos</v>
      </c>
    </row>
    <row r="25" spans="1:6" x14ac:dyDescent="0.25">
      <c r="A25" t="s">
        <v>1882</v>
      </c>
      <c r="B25" t="s">
        <v>474</v>
      </c>
      <c r="C25" s="41">
        <v>3.1909999999999998</v>
      </c>
      <c r="D25" s="15">
        <v>4.0170000000000003</v>
      </c>
      <c r="E25" s="8">
        <v>1.3959999999999999</v>
      </c>
      <c r="F25" s="1" t="str">
        <f>HYPERLINK("http://www.ncbi.nlm.nih.gov/pubmed/?term=Tgfb3","Tgfb3")</f>
        <v>Tgfb3</v>
      </c>
    </row>
    <row r="26" spans="1:6" x14ac:dyDescent="0.25">
      <c r="A26" t="s">
        <v>2108</v>
      </c>
      <c r="B26" t="s">
        <v>1572</v>
      </c>
      <c r="C26" s="8">
        <v>0.61960000000000004</v>
      </c>
      <c r="D26" s="15">
        <v>3.5</v>
      </c>
      <c r="E26" s="26">
        <v>0.2238</v>
      </c>
      <c r="F26" s="1" t="str">
        <f>HYPERLINK("http://www.ncbi.nlm.nih.gov/pubmed/?term=Gna14","Gna14")</f>
        <v>Gna14</v>
      </c>
    </row>
    <row r="27" spans="1:6" x14ac:dyDescent="0.25">
      <c r="A27" t="s">
        <v>1884</v>
      </c>
      <c r="B27" t="s">
        <v>2000</v>
      </c>
      <c r="C27" s="43">
        <v>8.7729999999999997</v>
      </c>
      <c r="D27" s="43">
        <v>9.0190000000000001</v>
      </c>
      <c r="E27" s="9">
        <v>7.4089999999999998</v>
      </c>
      <c r="F27" s="1" t="str">
        <f>HYPERLINK("http://www.ncbi.nlm.nih.gov/pubmed/?term=Jun","Jun")</f>
        <v>Jun</v>
      </c>
    </row>
    <row r="28" spans="1:6" x14ac:dyDescent="0.25">
      <c r="A28" t="s">
        <v>31</v>
      </c>
      <c r="B28" t="s">
        <v>400</v>
      </c>
      <c r="C28" s="15">
        <v>4.476</v>
      </c>
      <c r="D28" s="15">
        <v>3.5920000000000001</v>
      </c>
      <c r="E28" s="41">
        <v>3.4319999999999999</v>
      </c>
      <c r="F28" s="1" t="str">
        <f>HYPERLINK("http://www.ncbi.nlm.nih.gov/pubmed/?term=Mapk9","Mapk9")</f>
        <v>Mapk9</v>
      </c>
    </row>
    <row r="29" spans="1:6" x14ac:dyDescent="0.25">
      <c r="A29" t="s">
        <v>834</v>
      </c>
      <c r="B29" t="s">
        <v>1552</v>
      </c>
      <c r="C29" s="19">
        <v>4.516</v>
      </c>
      <c r="D29" s="15">
        <v>3.7549999999999999</v>
      </c>
      <c r="E29" s="41">
        <v>3.4649999999999999</v>
      </c>
      <c r="F29" s="1" t="str">
        <f>HYPERLINK("http://www.ncbi.nlm.nih.gov/pubmed/?term=Mapk8","Mapk8")</f>
        <v>Mapk8</v>
      </c>
    </row>
    <row r="30" spans="1:6" x14ac:dyDescent="0.25">
      <c r="A30" t="s">
        <v>101</v>
      </c>
      <c r="B30" t="s">
        <v>988</v>
      </c>
      <c r="C30" s="3">
        <v>5.5229999999999997</v>
      </c>
      <c r="D30" s="15">
        <v>4.4969999999999999</v>
      </c>
      <c r="E30" s="15">
        <v>4.4459999999999997</v>
      </c>
      <c r="F30" s="1" t="str">
        <f>HYPERLINK("http://www.ncbi.nlm.nih.gov/pubmed/?term=Ppp2r2a","Ppp2r2a")</f>
        <v>Ppp2r2a</v>
      </c>
    </row>
    <row r="31" spans="1:6" x14ac:dyDescent="0.25">
      <c r="A31" t="s">
        <v>49</v>
      </c>
      <c r="B31" t="s">
        <v>1564</v>
      </c>
      <c r="C31" s="19">
        <v>4.6529999999999996</v>
      </c>
      <c r="D31" s="15">
        <v>3.782</v>
      </c>
      <c r="E31" s="37">
        <v>2.4590000000000001</v>
      </c>
      <c r="F31" s="1" t="str">
        <f>HYPERLINK("http://www.ncbi.nlm.nih.gov/pubmed/?term=Gnaq","Gnaq")</f>
        <v>Gnaq</v>
      </c>
    </row>
    <row r="32" spans="1:6" x14ac:dyDescent="0.25">
      <c r="A32" t="s">
        <v>242</v>
      </c>
      <c r="B32" t="s">
        <v>997</v>
      </c>
      <c r="C32" s="3">
        <v>6.056</v>
      </c>
      <c r="D32" s="19">
        <v>5.3730000000000002</v>
      </c>
      <c r="E32" s="15">
        <v>4.3070000000000004</v>
      </c>
      <c r="F32" s="1" t="str">
        <f>HYPERLINK("http://www.ncbi.nlm.nih.gov/pubmed/?term=Tnfrsf1a","Tnfrsf1a")</f>
        <v>Tnfrsf1a</v>
      </c>
    </row>
    <row r="33" spans="1:6" x14ac:dyDescent="0.25">
      <c r="A33" t="s">
        <v>1205</v>
      </c>
      <c r="B33" t="s">
        <v>1329</v>
      </c>
      <c r="C33" s="3">
        <v>5.6820000000000004</v>
      </c>
      <c r="D33" s="19">
        <v>5.0220000000000002</v>
      </c>
      <c r="E33" s="19">
        <v>4.7060000000000004</v>
      </c>
      <c r="F33" s="1" t="str">
        <f>HYPERLINK("http://www.ncbi.nlm.nih.gov/pubmed/?term=Pik3r2","Pik3r2")</f>
        <v>Pik3r2</v>
      </c>
    </row>
    <row r="34" spans="1:6" x14ac:dyDescent="0.25">
      <c r="A34" t="s">
        <v>811</v>
      </c>
      <c r="B34" t="s">
        <v>886</v>
      </c>
      <c r="C34" s="19">
        <v>4.8479999999999999</v>
      </c>
      <c r="D34" s="41">
        <v>3.1829999999999998</v>
      </c>
      <c r="E34" s="41">
        <v>2.93</v>
      </c>
      <c r="F34" s="1" t="str">
        <f>HYPERLINK("http://www.ncbi.nlm.nih.gov/pubmed/?term=Ppp2r1b","Ppp2r1b")</f>
        <v>Ppp2r1b</v>
      </c>
    </row>
    <row r="35" spans="1:6" x14ac:dyDescent="0.25">
      <c r="A35" t="s">
        <v>650</v>
      </c>
      <c r="B35" t="s">
        <v>2046</v>
      </c>
      <c r="C35" s="19">
        <v>4.5739999999999998</v>
      </c>
      <c r="D35" s="37">
        <v>2.1139999999999999</v>
      </c>
      <c r="E35" s="26">
        <v>-0.61719999999999997</v>
      </c>
      <c r="F35" s="1" t="str">
        <f>HYPERLINK("http://www.ncbi.nlm.nih.gov/pubmed/?term=Tgfbr2","Tgfbr2")</f>
        <v>Tgfbr2</v>
      </c>
    </row>
    <row r="36" spans="1:6" x14ac:dyDescent="0.25">
      <c r="A36" t="s">
        <v>1620</v>
      </c>
      <c r="B36" t="s">
        <v>1646</v>
      </c>
      <c r="C36" s="15">
        <v>4.484</v>
      </c>
      <c r="D36" s="15">
        <v>3.6629999999999998</v>
      </c>
      <c r="E36" s="41">
        <v>2.92</v>
      </c>
      <c r="F36" s="1" t="str">
        <f>HYPERLINK("http://www.ncbi.nlm.nih.gov/pubmed/?term=Map2k4","Map2k4")</f>
        <v>Map2k4</v>
      </c>
    </row>
    <row r="37" spans="1:6" x14ac:dyDescent="0.25">
      <c r="A37" t="s">
        <v>2036</v>
      </c>
      <c r="B37" t="s">
        <v>1574</v>
      </c>
      <c r="C37" s="19">
        <v>4.6079999999999997</v>
      </c>
      <c r="D37" s="15">
        <v>3.7130000000000001</v>
      </c>
      <c r="E37" s="41">
        <v>2.661</v>
      </c>
      <c r="F37" s="1" t="str">
        <f>HYPERLINK("http://www.ncbi.nlm.nih.gov/pubmed/?term=Gna11","Gna11")</f>
        <v>Gna11</v>
      </c>
    </row>
    <row r="38" spans="1:6" x14ac:dyDescent="0.25">
      <c r="A38" t="s">
        <v>731</v>
      </c>
      <c r="B38" t="s">
        <v>1330</v>
      </c>
      <c r="C38" s="19">
        <v>4.9180000000000001</v>
      </c>
      <c r="D38" s="19">
        <v>4.8079999999999998</v>
      </c>
      <c r="E38" s="15">
        <v>3.7410000000000001</v>
      </c>
      <c r="F38" s="1" t="str">
        <f>HYPERLINK("http://www.ncbi.nlm.nih.gov/pubmed/?term=Pik3r1","Pik3r1")</f>
        <v>Pik3r1</v>
      </c>
    </row>
    <row r="39" spans="1:6" x14ac:dyDescent="0.25">
      <c r="A39" t="s">
        <v>1902</v>
      </c>
      <c r="B39" t="s">
        <v>292</v>
      </c>
      <c r="C39" s="19">
        <v>5.4859999999999998</v>
      </c>
      <c r="D39" s="19">
        <v>5.1769999999999996</v>
      </c>
      <c r="E39" s="15">
        <v>4.3440000000000003</v>
      </c>
      <c r="F39" s="1" t="str">
        <f>HYPERLINK("http://www.ncbi.nlm.nih.gov/pubmed/?term=Mapk14","Mapk14")</f>
        <v>Mapk14</v>
      </c>
    </row>
    <row r="40" spans="1:6" x14ac:dyDescent="0.25">
      <c r="A40" t="s">
        <v>1459</v>
      </c>
      <c r="B40" t="s">
        <v>473</v>
      </c>
      <c r="C40" s="41">
        <v>3.3570000000000002</v>
      </c>
      <c r="D40" s="41">
        <v>2.609</v>
      </c>
      <c r="E40" s="15">
        <v>3.7639999999999998</v>
      </c>
      <c r="F40" s="1" t="str">
        <f>HYPERLINK("http://www.ncbi.nlm.nih.gov/pubmed/?term=Tgfb1","Tgfb1")</f>
        <v>Tgfb1</v>
      </c>
    </row>
    <row r="41" spans="1:6" x14ac:dyDescent="0.25">
      <c r="A41" t="s">
        <v>482</v>
      </c>
      <c r="B41" t="s">
        <v>44</v>
      </c>
      <c r="C41" s="26">
        <v>7.9680000000000001E-2</v>
      </c>
      <c r="D41" s="26">
        <v>-0.70120000000000005</v>
      </c>
      <c r="E41" s="15">
        <v>3.97</v>
      </c>
      <c r="F41" s="1" t="str">
        <f>HYPERLINK("http://www.ncbi.nlm.nih.gov/pubmed/?term=Adcy1","Adcy1")</f>
        <v>Adcy1</v>
      </c>
    </row>
    <row r="42" spans="1:6" x14ac:dyDescent="0.25">
      <c r="A42" t="s">
        <v>1852</v>
      </c>
      <c r="B42" t="s">
        <v>1070</v>
      </c>
      <c r="C42" s="39">
        <v>7.577</v>
      </c>
      <c r="D42" s="39">
        <v>7.5250000000000004</v>
      </c>
      <c r="E42" s="43">
        <v>9.6739999999999995</v>
      </c>
      <c r="F42" s="1" t="str">
        <f>HYPERLINK("http://www.ncbi.nlm.nih.gov/pubmed/?term=Nfkbia","Nfkbia")</f>
        <v>Nfkbia</v>
      </c>
    </row>
    <row r="43" spans="1:6" x14ac:dyDescent="0.25">
      <c r="A43" t="s">
        <v>304</v>
      </c>
      <c r="B43" t="s">
        <v>1088</v>
      </c>
      <c r="C43" s="19">
        <v>4.7640000000000002</v>
      </c>
      <c r="D43" s="19">
        <v>4.665</v>
      </c>
      <c r="E43" s="3">
        <v>6.202</v>
      </c>
      <c r="F43" s="1" t="str">
        <f>HYPERLINK("http://www.ncbi.nlm.nih.gov/pubmed/?term=Cflar","Cflar")</f>
        <v>Cflar</v>
      </c>
    </row>
    <row r="44" spans="1:6" x14ac:dyDescent="0.25">
      <c r="A44" t="s">
        <v>529</v>
      </c>
      <c r="B44" t="s">
        <v>1321</v>
      </c>
      <c r="C44" s="41">
        <v>3.3559999999999999</v>
      </c>
      <c r="D44" s="41">
        <v>3.198</v>
      </c>
      <c r="E44" s="19">
        <v>5.0339999999999998</v>
      </c>
      <c r="F44" s="1" t="str">
        <f>HYPERLINK("http://www.ncbi.nlm.nih.gov/pubmed/?term=Traf6","Traf6")</f>
        <v>Traf6</v>
      </c>
    </row>
    <row r="45" spans="1:6" x14ac:dyDescent="0.25">
      <c r="A45" t="s">
        <v>973</v>
      </c>
      <c r="B45" t="s">
        <v>1936</v>
      </c>
      <c r="C45" s="19">
        <v>4.9489999999999998</v>
      </c>
      <c r="D45" s="15">
        <v>4.2130000000000001</v>
      </c>
      <c r="E45" s="3">
        <v>5.6050000000000004</v>
      </c>
      <c r="F45" s="1" t="str">
        <f>HYPERLINK("http://www.ncbi.nlm.nih.gov/pubmed/?term=Plcb4","Plcb4")</f>
        <v>Plcb4</v>
      </c>
    </row>
    <row r="46" spans="1:6" x14ac:dyDescent="0.25">
      <c r="A46" t="s">
        <v>1883</v>
      </c>
      <c r="B46" t="s">
        <v>434</v>
      </c>
      <c r="C46" s="15">
        <v>4.2249999999999996</v>
      </c>
      <c r="D46" s="26">
        <v>0.3417</v>
      </c>
      <c r="E46" s="8">
        <v>0.66310000000000002</v>
      </c>
      <c r="F46" s="1" t="str">
        <f>HYPERLINK("http://www.ncbi.nlm.nih.gov/pubmed/?term=Cd3g","Cd3g")</f>
        <v>Cd3g</v>
      </c>
    </row>
    <row r="47" spans="1:6" x14ac:dyDescent="0.25">
      <c r="A47" t="s">
        <v>1821</v>
      </c>
      <c r="B47" t="s">
        <v>694</v>
      </c>
      <c r="C47" s="41">
        <v>3.367</v>
      </c>
      <c r="D47" s="8">
        <v>0.92649999999999999</v>
      </c>
      <c r="E47" s="8">
        <v>1.3360000000000001</v>
      </c>
      <c r="F47" s="1" t="str">
        <f>HYPERLINK("http://www.ncbi.nlm.nih.gov/pubmed/?term=Cd247","Cd247")</f>
        <v>Cd247</v>
      </c>
    </row>
    <row r="48" spans="1:6" x14ac:dyDescent="0.25">
      <c r="A48" t="s">
        <v>1289</v>
      </c>
      <c r="B48" t="s">
        <v>2001</v>
      </c>
      <c r="C48" s="19">
        <v>4.7679999999999998</v>
      </c>
      <c r="D48" s="41">
        <v>2.8929999999999998</v>
      </c>
      <c r="E48" s="41">
        <v>3.339</v>
      </c>
      <c r="F48" s="1" t="str">
        <f>HYPERLINK("http://www.ncbi.nlm.nih.gov/pubmed/?term=Smad3","Smad3")</f>
        <v>Smad3</v>
      </c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1357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4">
        <v>2.2389999999999999</v>
      </c>
      <c r="D5" s="35">
        <v>7.0960000000000001</v>
      </c>
      <c r="E5" s="5">
        <v>5.49</v>
      </c>
      <c r="F5" s="1" t="str">
        <f>HYPERLINK("http://www.ncbi.nlm.nih.gov/pubmed/?term=Mapk13","Mapk13")</f>
        <v>Mapk13</v>
      </c>
    </row>
    <row r="6" spans="1:6" x14ac:dyDescent="0.25">
      <c r="A6" t="s">
        <v>1098</v>
      </c>
      <c r="B6" t="s">
        <v>929</v>
      </c>
      <c r="C6" s="26">
        <v>-4.3019999999999996</v>
      </c>
      <c r="D6" s="50">
        <v>3.4460000000000002</v>
      </c>
      <c r="E6" s="4">
        <v>2.1880000000000002</v>
      </c>
      <c r="F6" s="1" t="str">
        <f>HYPERLINK("http://www.ncbi.nlm.nih.gov/pubmed/?term=Il10","Il10")</f>
        <v>Il10</v>
      </c>
    </row>
    <row r="7" spans="1:6" x14ac:dyDescent="0.25">
      <c r="A7" t="s">
        <v>1114</v>
      </c>
      <c r="B7" t="s">
        <v>336</v>
      </c>
      <c r="C7" s="4">
        <v>2.2010000000000001</v>
      </c>
      <c r="D7" s="34">
        <v>8.5250000000000004</v>
      </c>
      <c r="E7" s="6">
        <v>8.0510000000000002</v>
      </c>
      <c r="F7" s="1" t="str">
        <f>HYPERLINK("http://www.ncbi.nlm.nih.gov/pubmed/?term=C3","C3")</f>
        <v>C3</v>
      </c>
    </row>
    <row r="8" spans="1:6" x14ac:dyDescent="0.25">
      <c r="A8" t="s">
        <v>1524</v>
      </c>
      <c r="B8" t="s">
        <v>1499</v>
      </c>
      <c r="C8" s="26">
        <v>-3.9929999999999999</v>
      </c>
      <c r="D8" s="26">
        <v>-2.68</v>
      </c>
      <c r="E8" s="50">
        <v>3.4220000000000002</v>
      </c>
      <c r="F8" s="1" t="str">
        <f>HYPERLINK("http://www.ncbi.nlm.nih.gov/pubmed/?term=Il4","Il4")</f>
        <v>Il4</v>
      </c>
    </row>
    <row r="9" spans="1:6" x14ac:dyDescent="0.25">
      <c r="A9" t="s">
        <v>726</v>
      </c>
      <c r="B9" t="s">
        <v>1486</v>
      </c>
      <c r="C9" s="4">
        <v>2.4129999999999998</v>
      </c>
      <c r="D9" s="31">
        <v>5.7949999999999999</v>
      </c>
      <c r="E9" s="34">
        <v>8.7479999999999993</v>
      </c>
      <c r="F9" s="1" t="str">
        <f>HYPERLINK("http://www.ncbi.nlm.nih.gov/pubmed/?term=Cyba","Cyba")</f>
        <v>Cyba</v>
      </c>
    </row>
    <row r="10" spans="1:6" x14ac:dyDescent="0.25">
      <c r="A10" t="s">
        <v>925</v>
      </c>
      <c r="B10" t="s">
        <v>874</v>
      </c>
      <c r="C10" s="26">
        <v>-0.30590000000000001</v>
      </c>
      <c r="D10" s="50">
        <v>3.0009999999999999</v>
      </c>
      <c r="E10" s="6">
        <v>8.1969999999999992</v>
      </c>
      <c r="F10" s="1" t="str">
        <f>HYPERLINK("http://www.ncbi.nlm.nih.gov/pubmed/?term=Ncf1","Ncf1")</f>
        <v>Ncf1</v>
      </c>
    </row>
    <row r="11" spans="1:6" x14ac:dyDescent="0.25">
      <c r="A11" t="s">
        <v>1173</v>
      </c>
      <c r="B11" t="s">
        <v>1060</v>
      </c>
      <c r="C11" s="26">
        <v>-1.2470000000000001</v>
      </c>
      <c r="D11" s="4">
        <v>2.052</v>
      </c>
      <c r="E11" s="35">
        <v>7.4489999999999998</v>
      </c>
      <c r="F11" s="1" t="str">
        <f>HYPERLINK("http://www.ncbi.nlm.nih.gov/pubmed/?term=Nos2","Nos2")</f>
        <v>Nos2</v>
      </c>
    </row>
    <row r="12" spans="1:6" x14ac:dyDescent="0.25">
      <c r="A12" t="s">
        <v>1487</v>
      </c>
      <c r="B12" t="s">
        <v>1618</v>
      </c>
      <c r="C12" s="44">
        <v>4.0289999999999999</v>
      </c>
      <c r="D12" s="5">
        <v>4.91</v>
      </c>
      <c r="E12" s="5">
        <v>5.2249999999999996</v>
      </c>
      <c r="F12" s="1" t="str">
        <f>HYPERLINK("http://www.ncbi.nlm.nih.gov/pubmed/?term=Ifngr2","Ifngr2")</f>
        <v>Ifngr2</v>
      </c>
    </row>
    <row r="13" spans="1:6" x14ac:dyDescent="0.25">
      <c r="A13" t="s">
        <v>656</v>
      </c>
      <c r="B13" t="s">
        <v>1049</v>
      </c>
      <c r="C13" s="26">
        <v>-1.929</v>
      </c>
      <c r="D13" s="30">
        <v>0.65049999999999997</v>
      </c>
      <c r="E13" s="44">
        <v>4.242</v>
      </c>
      <c r="F13" s="1" t="str">
        <f>HYPERLINK("http://www.ncbi.nlm.nih.gov/pubmed/?term=Tnf","Tnf")</f>
        <v>Tnf</v>
      </c>
    </row>
    <row r="14" spans="1:6" x14ac:dyDescent="0.25">
      <c r="A14" t="s">
        <v>379</v>
      </c>
      <c r="B14" t="s">
        <v>885</v>
      </c>
      <c r="C14" s="26">
        <v>-0.49680000000000002</v>
      </c>
      <c r="D14" s="5">
        <v>4.8220000000000001</v>
      </c>
      <c r="E14" s="5">
        <v>4.93</v>
      </c>
      <c r="F14" s="1" t="str">
        <f>HYPERLINK("http://www.ncbi.nlm.nih.gov/pubmed/?term=Ncf2","Ncf2")</f>
        <v>Ncf2</v>
      </c>
    </row>
    <row r="15" spans="1:6" x14ac:dyDescent="0.25">
      <c r="A15" t="s">
        <v>391</v>
      </c>
      <c r="B15" t="s">
        <v>558</v>
      </c>
      <c r="C15" s="26">
        <v>-2.9940000000000002</v>
      </c>
      <c r="D15" s="26">
        <v>-4.1790000000000001E-2</v>
      </c>
      <c r="E15" s="31">
        <v>6.1180000000000003</v>
      </c>
      <c r="F15" s="1" t="str">
        <f>HYPERLINK("http://www.ncbi.nlm.nih.gov/pubmed/?term=Il12a","Il12a")</f>
        <v>Il12a</v>
      </c>
    </row>
    <row r="16" spans="1:6" x14ac:dyDescent="0.25">
      <c r="A16" t="s">
        <v>1849</v>
      </c>
      <c r="B16" t="s">
        <v>703</v>
      </c>
      <c r="C16" s="26">
        <v>-7.85E-2</v>
      </c>
      <c r="D16" s="44">
        <v>3.8530000000000002</v>
      </c>
      <c r="E16" s="6">
        <v>8.1</v>
      </c>
      <c r="F16" s="1" t="str">
        <f>HYPERLINK("http://www.ncbi.nlm.nih.gov/pubmed/?term=Ptgs2","Ptgs2")</f>
        <v>Ptgs2</v>
      </c>
    </row>
    <row r="17" spans="1:6" x14ac:dyDescent="0.25">
      <c r="A17" t="s">
        <v>1956</v>
      </c>
      <c r="B17" t="s">
        <v>1715</v>
      </c>
      <c r="C17" s="31">
        <v>5.9130000000000003</v>
      </c>
      <c r="D17" s="31">
        <v>5.9269999999999996</v>
      </c>
      <c r="E17" s="6">
        <v>8.0259999999999998</v>
      </c>
      <c r="F17" s="1" t="str">
        <f>HYPERLINK("http://www.ncbi.nlm.nih.gov/pubmed/?term=H2-DMb2","H2-DMb2")</f>
        <v>H2-DMb2</v>
      </c>
    </row>
    <row r="18" spans="1:6" x14ac:dyDescent="0.25">
      <c r="A18" t="s">
        <v>1491</v>
      </c>
      <c r="B18" t="s">
        <v>1428</v>
      </c>
      <c r="C18" s="26">
        <v>-0.41930000000000001</v>
      </c>
      <c r="D18" s="4">
        <v>2.2890000000000001</v>
      </c>
      <c r="E18" s="35">
        <v>6.6079999999999997</v>
      </c>
      <c r="F18" s="1" t="str">
        <f>HYPERLINK("http://www.ncbi.nlm.nih.gov/pubmed/?term=H2-Ob","H2-Ob")</f>
        <v>H2-Ob</v>
      </c>
    </row>
    <row r="19" spans="1:6" x14ac:dyDescent="0.25">
      <c r="A19" t="s">
        <v>1725</v>
      </c>
      <c r="B19" t="s">
        <v>962</v>
      </c>
      <c r="C19" s="35">
        <v>6.7919999999999998</v>
      </c>
      <c r="D19" s="35">
        <v>7.4420000000000002</v>
      </c>
      <c r="E19" s="6">
        <v>8.3170000000000002</v>
      </c>
      <c r="F19" s="1" t="str">
        <f>HYPERLINK("http://www.ncbi.nlm.nih.gov/pubmed/?term=Marcksl1","Marcksl1")</f>
        <v>Marcksl1</v>
      </c>
    </row>
    <row r="20" spans="1:6" x14ac:dyDescent="0.25">
      <c r="A20" t="s">
        <v>1401</v>
      </c>
      <c r="B20" t="s">
        <v>591</v>
      </c>
      <c r="C20" s="49">
        <v>9.7219999999999995</v>
      </c>
      <c r="D20" s="49">
        <v>9.8309999999999995</v>
      </c>
      <c r="E20" s="43">
        <v>11.67</v>
      </c>
      <c r="F20" s="1" t="str">
        <f>HYPERLINK("http://www.ncbi.nlm.nih.gov/pubmed/?term=H2-Eb1","H2-Eb1")</f>
        <v>H2-Eb1</v>
      </c>
    </row>
    <row r="21" spans="1:6" x14ac:dyDescent="0.25">
      <c r="A21" t="s">
        <v>80</v>
      </c>
      <c r="B21" t="s">
        <v>887</v>
      </c>
      <c r="C21" s="26">
        <v>-1.54</v>
      </c>
      <c r="D21" s="50">
        <v>2.968</v>
      </c>
      <c r="E21" s="31">
        <v>6.234</v>
      </c>
      <c r="F21" s="1" t="str">
        <f>HYPERLINK("http://www.ncbi.nlm.nih.gov/pubmed/?term=Ncf4","Ncf4")</f>
        <v>Ncf4</v>
      </c>
    </row>
    <row r="22" spans="1:6" x14ac:dyDescent="0.25">
      <c r="A22" t="s">
        <v>1747</v>
      </c>
      <c r="B22" t="s">
        <v>1617</v>
      </c>
      <c r="C22" s="44">
        <v>4.47</v>
      </c>
      <c r="D22" s="31">
        <v>5.5170000000000003</v>
      </c>
      <c r="E22" s="44">
        <v>3.8849999999999998</v>
      </c>
      <c r="F22" s="1" t="str">
        <f>HYPERLINK("http://www.ncbi.nlm.nih.gov/pubmed/?term=Ifngr1","Ifngr1")</f>
        <v>Ifngr1</v>
      </c>
    </row>
    <row r="23" spans="1:6" x14ac:dyDescent="0.25">
      <c r="A23" t="s">
        <v>1045</v>
      </c>
      <c r="B23" t="s">
        <v>1412</v>
      </c>
      <c r="C23" s="6">
        <v>8.2629999999999999</v>
      </c>
      <c r="D23" s="34">
        <v>8.5969999999999995</v>
      </c>
      <c r="E23" s="35">
        <v>6.7990000000000004</v>
      </c>
      <c r="F23" s="1" t="str">
        <f>HYPERLINK("http://www.ncbi.nlm.nih.gov/pubmed/?term=Fos","Fos")</f>
        <v>Fos</v>
      </c>
    </row>
    <row r="24" spans="1:6" x14ac:dyDescent="0.25">
      <c r="A24" t="s">
        <v>1882</v>
      </c>
      <c r="B24" t="s">
        <v>474</v>
      </c>
      <c r="C24" s="50">
        <v>3.1909999999999998</v>
      </c>
      <c r="D24" s="44">
        <v>4.0170000000000003</v>
      </c>
      <c r="E24" s="30">
        <v>1.3959999999999999</v>
      </c>
      <c r="F24" s="1" t="str">
        <f>HYPERLINK("http://www.ncbi.nlm.nih.gov/pubmed/?term=Tgfb3","Tgfb3")</f>
        <v>Tgfb3</v>
      </c>
    </row>
    <row r="25" spans="1:6" x14ac:dyDescent="0.25">
      <c r="A25" t="s">
        <v>1884</v>
      </c>
      <c r="B25" t="s">
        <v>2000</v>
      </c>
      <c r="C25" s="34">
        <v>8.7729999999999997</v>
      </c>
      <c r="D25" s="34">
        <v>9.0190000000000001</v>
      </c>
      <c r="E25" s="35">
        <v>7.4089999999999998</v>
      </c>
      <c r="F25" s="1" t="str">
        <f>HYPERLINK("http://www.ncbi.nlm.nih.gov/pubmed/?term=Jun","Jun")</f>
        <v>Jun</v>
      </c>
    </row>
    <row r="26" spans="1:6" x14ac:dyDescent="0.25">
      <c r="A26" t="s">
        <v>1398</v>
      </c>
      <c r="B26" t="s">
        <v>36</v>
      </c>
      <c r="C26" s="44">
        <v>4.2149999999999999</v>
      </c>
      <c r="D26" s="50">
        <v>3.403</v>
      </c>
      <c r="E26" s="4">
        <v>2.5</v>
      </c>
      <c r="F26" s="1" t="str">
        <f>HYPERLINK("http://www.ncbi.nlm.nih.gov/pubmed/?term=Tab1","Tab1")</f>
        <v>Tab1</v>
      </c>
    </row>
    <row r="27" spans="1:6" x14ac:dyDescent="0.25">
      <c r="A27" t="s">
        <v>233</v>
      </c>
      <c r="B27" t="s">
        <v>1714</v>
      </c>
      <c r="C27" s="35">
        <v>6.734</v>
      </c>
      <c r="D27" s="35">
        <v>6.7110000000000003</v>
      </c>
      <c r="E27" s="5">
        <v>5.4809999999999999</v>
      </c>
      <c r="F27" s="1" t="str">
        <f>HYPERLINK("http://www.ncbi.nlm.nih.gov/pubmed/?term=Stat1","Stat1")</f>
        <v>Stat1</v>
      </c>
    </row>
    <row r="28" spans="1:6" x14ac:dyDescent="0.25">
      <c r="A28" t="s">
        <v>1902</v>
      </c>
      <c r="B28" t="s">
        <v>292</v>
      </c>
      <c r="C28" s="5">
        <v>5.4859999999999998</v>
      </c>
      <c r="D28" s="5">
        <v>5.1769999999999996</v>
      </c>
      <c r="E28" s="44">
        <v>4.3440000000000003</v>
      </c>
      <c r="F28" s="1" t="str">
        <f>HYPERLINK("http://www.ncbi.nlm.nih.gov/pubmed/?term=Mapk14","Mapk14")</f>
        <v>Mapk14</v>
      </c>
    </row>
    <row r="29" spans="1:6" x14ac:dyDescent="0.25">
      <c r="A29" t="s">
        <v>1459</v>
      </c>
      <c r="B29" t="s">
        <v>473</v>
      </c>
      <c r="C29" s="50">
        <v>3.3570000000000002</v>
      </c>
      <c r="D29" s="50">
        <v>2.609</v>
      </c>
      <c r="E29" s="44">
        <v>3.7639999999999998</v>
      </c>
      <c r="F29" s="1" t="str">
        <f>HYPERLINK("http://www.ncbi.nlm.nih.gov/pubmed/?term=Tgfb1","Tgfb1")</f>
        <v>Tgfb1</v>
      </c>
    </row>
    <row r="30" spans="1:6" x14ac:dyDescent="0.25">
      <c r="A30" t="s">
        <v>1852</v>
      </c>
      <c r="B30" t="s">
        <v>1070</v>
      </c>
      <c r="C30" s="6">
        <v>7.577</v>
      </c>
      <c r="D30" s="6">
        <v>7.5250000000000004</v>
      </c>
      <c r="E30" s="49">
        <v>9.6739999999999995</v>
      </c>
      <c r="F30" s="1" t="str">
        <f>HYPERLINK("http://www.ncbi.nlm.nih.gov/pubmed/?term=Nfkbia","Nfkbia")</f>
        <v>Nfkbia</v>
      </c>
    </row>
    <row r="31" spans="1:6" x14ac:dyDescent="0.25">
      <c r="A31" t="s">
        <v>1324</v>
      </c>
      <c r="B31" t="s">
        <v>1429</v>
      </c>
      <c r="C31" s="5">
        <v>5.2809999999999997</v>
      </c>
      <c r="D31" s="5">
        <v>5.2389999999999999</v>
      </c>
      <c r="E31" s="6">
        <v>8.2189999999999994</v>
      </c>
      <c r="F31" s="1" t="str">
        <f>HYPERLINK("http://www.ncbi.nlm.nih.gov/pubmed/?term=H2-Oa","H2-Oa")</f>
        <v>H2-Oa</v>
      </c>
    </row>
    <row r="32" spans="1:6" x14ac:dyDescent="0.25">
      <c r="A32" t="s">
        <v>529</v>
      </c>
      <c r="B32" t="s">
        <v>1321</v>
      </c>
      <c r="C32" s="50">
        <v>3.3559999999999999</v>
      </c>
      <c r="D32" s="50">
        <v>3.198</v>
      </c>
      <c r="E32" s="5">
        <v>5.0339999999999998</v>
      </c>
      <c r="F32" s="1" t="str">
        <f>HYPERLINK("http://www.ncbi.nlm.nih.gov/pubmed/?term=Traf6","Traf6")</f>
        <v>Traf6</v>
      </c>
    </row>
    <row r="33" spans="1:6" x14ac:dyDescent="0.25">
      <c r="A33" t="s">
        <v>1675</v>
      </c>
      <c r="B33" t="s">
        <v>1069</v>
      </c>
      <c r="C33" s="5">
        <v>4.6070000000000002</v>
      </c>
      <c r="D33" s="44">
        <v>3.927</v>
      </c>
      <c r="E33" s="5">
        <v>5.1689999999999996</v>
      </c>
      <c r="F33" s="1" t="str">
        <f>HYPERLINK("http://www.ncbi.nlm.nih.gov/pubmed/?term=Nfkbib","Nfkbib")</f>
        <v>Nfkbib</v>
      </c>
    </row>
    <row r="34" spans="1:6" x14ac:dyDescent="0.25">
      <c r="A34" t="s">
        <v>528</v>
      </c>
      <c r="B34" t="s">
        <v>1739</v>
      </c>
      <c r="C34" s="49">
        <v>10.41</v>
      </c>
      <c r="D34" s="49">
        <v>10.1</v>
      </c>
      <c r="E34" s="43">
        <v>12.37</v>
      </c>
      <c r="F34" s="1" t="str">
        <f>HYPERLINK("http://www.ncbi.nlm.nih.gov/pubmed/?term=H2-Aa","H2-Aa")</f>
        <v>H2-Aa</v>
      </c>
    </row>
    <row r="35" spans="1:6" x14ac:dyDescent="0.25">
      <c r="A35" t="s">
        <v>1974</v>
      </c>
      <c r="B35" t="s">
        <v>1270</v>
      </c>
      <c r="C35" s="43">
        <v>10.67</v>
      </c>
      <c r="D35" s="49">
        <v>10.31</v>
      </c>
      <c r="E35" s="43">
        <v>12.36</v>
      </c>
      <c r="F35" s="1" t="str">
        <f>HYPERLINK("http://www.ncbi.nlm.nih.gov/pubmed/?term=H2-Ab1","H2-Ab1")</f>
        <v>H2-Ab1</v>
      </c>
    </row>
    <row r="36" spans="1:6" x14ac:dyDescent="0.25">
      <c r="A36" t="s">
        <v>1468</v>
      </c>
      <c r="B36" t="s">
        <v>1716</v>
      </c>
      <c r="C36" s="5">
        <v>5.3959999999999999</v>
      </c>
      <c r="D36" s="5">
        <v>5.0060000000000002</v>
      </c>
      <c r="E36" s="35">
        <v>6.9</v>
      </c>
      <c r="F36" s="1" t="str">
        <f>HYPERLINK("http://www.ncbi.nlm.nih.gov/pubmed/?term=H2-DMb1","H2-DMb1")</f>
        <v>H2-DMb1</v>
      </c>
    </row>
    <row r="37" spans="1:6" x14ac:dyDescent="0.25">
      <c r="A37" t="s">
        <v>1660</v>
      </c>
      <c r="B37" t="s">
        <v>2069</v>
      </c>
      <c r="C37" s="44">
        <v>3.8090000000000002</v>
      </c>
      <c r="D37" s="26">
        <v>-1.27</v>
      </c>
      <c r="E37" s="26">
        <v>-1.117</v>
      </c>
      <c r="F37" s="1" t="str">
        <f>HYPERLINK("http://www.ncbi.nlm.nih.gov/pubmed/?term=Itgb2","Itgb2")</f>
        <v>Itgb2</v>
      </c>
    </row>
    <row r="38" spans="1:6" x14ac:dyDescent="0.25">
      <c r="A38" t="s">
        <v>865</v>
      </c>
      <c r="B38" t="s">
        <v>1044</v>
      </c>
      <c r="C38" s="35">
        <v>6.5350000000000001</v>
      </c>
      <c r="D38" s="5">
        <v>4.9409999999999998</v>
      </c>
      <c r="E38" s="31">
        <v>6.3239999999999998</v>
      </c>
      <c r="F38" s="1" t="str">
        <f>HYPERLINK("http://www.ncbi.nlm.nih.gov/pubmed/?term=H2-DMa","H2-DMa")</f>
        <v>H2-DMa</v>
      </c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353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2105</v>
      </c>
      <c r="B5" t="s">
        <v>1795</v>
      </c>
      <c r="C5" s="26">
        <v>-0.6603</v>
      </c>
      <c r="D5" s="42">
        <v>4.41</v>
      </c>
      <c r="E5" s="14">
        <v>0.9375</v>
      </c>
      <c r="F5" s="1" t="str">
        <f>HYPERLINK("http://www.ncbi.nlm.nih.gov/pubmed/?term=Aldh3a1","Aldh3a1")</f>
        <v>Aldh3a1</v>
      </c>
    </row>
    <row r="6" spans="1:6" x14ac:dyDescent="0.25">
      <c r="A6" t="s">
        <v>229</v>
      </c>
      <c r="B6" t="s">
        <v>1621</v>
      </c>
      <c r="C6" s="26">
        <v>-7.202</v>
      </c>
      <c r="D6" s="47">
        <v>3.4820000000000002</v>
      </c>
      <c r="E6" s="26">
        <v>-0.97960000000000003</v>
      </c>
      <c r="F6" s="1" t="str">
        <f>HYPERLINK("http://www.ncbi.nlm.nih.gov/pubmed/?term=Gm4952","Gm4952")</f>
        <v>Gm4952</v>
      </c>
    </row>
    <row r="7" spans="1:6" x14ac:dyDescent="0.25">
      <c r="A7" t="s">
        <v>2062</v>
      </c>
      <c r="B7" t="s">
        <v>1343</v>
      </c>
      <c r="C7" s="26">
        <v>0.4713</v>
      </c>
      <c r="D7" s="36">
        <v>2.2429999999999999</v>
      </c>
      <c r="E7" s="42">
        <v>4.0810000000000004</v>
      </c>
      <c r="F7" s="1" t="str">
        <f>HYPERLINK("http://www.ncbi.nlm.nih.gov/pubmed/?term=Aldh3b1","Aldh3b1")</f>
        <v>Aldh3b1</v>
      </c>
    </row>
    <row r="8" spans="1:6" x14ac:dyDescent="0.25">
      <c r="A8" t="s">
        <v>321</v>
      </c>
      <c r="B8" t="s">
        <v>983</v>
      </c>
      <c r="C8" s="14">
        <v>1.254</v>
      </c>
      <c r="D8" s="28">
        <v>6.3419999999999996</v>
      </c>
      <c r="E8" s="43">
        <v>8.1620000000000008</v>
      </c>
      <c r="F8" s="1" t="str">
        <f>HYPERLINK("http://www.ncbi.nlm.nih.gov/pubmed/?term=Il4i1","Il4i1")</f>
        <v>Il4i1</v>
      </c>
    </row>
    <row r="9" spans="1:6" x14ac:dyDescent="0.25">
      <c r="A9" t="s">
        <v>857</v>
      </c>
      <c r="B9" t="s">
        <v>1602</v>
      </c>
      <c r="C9" s="28">
        <v>5.9160000000000004</v>
      </c>
      <c r="D9" s="28">
        <v>6.2290000000000001</v>
      </c>
      <c r="E9" s="27">
        <v>4.5570000000000004</v>
      </c>
      <c r="F9" s="1" t="str">
        <f>HYPERLINK("http://www.ncbi.nlm.nih.gov/pubmed/?term=Prdx6","Prdx6")</f>
        <v>Prdx6</v>
      </c>
    </row>
    <row r="10" spans="1:6" x14ac:dyDescent="0.25">
      <c r="A10" t="s">
        <v>1419</v>
      </c>
      <c r="B10" t="s">
        <v>1095</v>
      </c>
      <c r="C10" s="36">
        <v>1.913</v>
      </c>
      <c r="D10" s="36">
        <v>1.528</v>
      </c>
      <c r="E10" s="42">
        <v>4.2119999999999997</v>
      </c>
      <c r="F10" s="1" t="str">
        <f>HYPERLINK("http://www.ncbi.nlm.nih.gov/pubmed/?term=Maoa","Maoa")</f>
        <v>Maoa</v>
      </c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1192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837</v>
      </c>
      <c r="B5" t="s">
        <v>2102</v>
      </c>
      <c r="C5" s="22">
        <v>3.4649999999999999</v>
      </c>
      <c r="D5" s="43">
        <v>5.6529999999999996</v>
      </c>
      <c r="E5" s="3">
        <v>4.1619999999999999</v>
      </c>
      <c r="F5" s="1" t="str">
        <f>HYPERLINK("http://www.ncbi.nlm.nih.gov/pubmed/?term=Robo1","Robo1")</f>
        <v>Robo1</v>
      </c>
    </row>
    <row r="6" spans="1:6" x14ac:dyDescent="0.25">
      <c r="A6" t="s">
        <v>442</v>
      </c>
      <c r="B6" t="s">
        <v>1800</v>
      </c>
      <c r="C6" s="41">
        <v>1.7629999999999999</v>
      </c>
      <c r="D6" s="22">
        <v>3.4049999999999998</v>
      </c>
      <c r="E6" s="41">
        <v>1.9890000000000001</v>
      </c>
      <c r="F6" s="1" t="str">
        <f>HYPERLINK("http://www.ncbi.nlm.nih.gov/pubmed/?term=Sema3a","Sema3a")</f>
        <v>Sema3a</v>
      </c>
    </row>
    <row r="7" spans="1:6" x14ac:dyDescent="0.25">
      <c r="A7" t="s">
        <v>1012</v>
      </c>
      <c r="B7" t="s">
        <v>608</v>
      </c>
      <c r="C7" s="21">
        <v>0.79710000000000003</v>
      </c>
      <c r="D7" s="3">
        <v>3.81</v>
      </c>
      <c r="E7" s="41">
        <v>2.1230000000000002</v>
      </c>
      <c r="F7" s="1" t="str">
        <f>HYPERLINK("http://www.ncbi.nlm.nih.gov/pubmed/?term=Pak1","Pak1")</f>
        <v>Pak1</v>
      </c>
    </row>
    <row r="8" spans="1:6" x14ac:dyDescent="0.25">
      <c r="A8" t="s">
        <v>742</v>
      </c>
      <c r="B8" t="s">
        <v>92</v>
      </c>
      <c r="C8" s="26">
        <v>-2.0190000000000001</v>
      </c>
      <c r="D8" s="3">
        <v>4.4619999999999997</v>
      </c>
      <c r="E8" s="41">
        <v>2.2490000000000001</v>
      </c>
      <c r="F8" s="1" t="str">
        <f>HYPERLINK("http://www.ncbi.nlm.nih.gov/pubmed/?term=L1cam","L1cam")</f>
        <v>L1cam</v>
      </c>
    </row>
    <row r="9" spans="1:6" x14ac:dyDescent="0.25">
      <c r="A9" t="s">
        <v>1845</v>
      </c>
      <c r="B9" t="s">
        <v>2091</v>
      </c>
      <c r="C9" s="41">
        <v>2.3140000000000001</v>
      </c>
      <c r="D9" s="16">
        <v>5.47</v>
      </c>
      <c r="E9" s="3">
        <v>4.2670000000000003</v>
      </c>
      <c r="F9" s="1" t="str">
        <f>HYPERLINK("http://www.ncbi.nlm.nih.gov/pubmed/?term=Sema3f","Sema3f")</f>
        <v>Sema3f</v>
      </c>
    </row>
    <row r="10" spans="1:6" x14ac:dyDescent="0.25">
      <c r="A10" t="s">
        <v>446</v>
      </c>
      <c r="B10" t="s">
        <v>2103</v>
      </c>
      <c r="C10" s="26">
        <v>4.4299999999999999E-2</v>
      </c>
      <c r="D10" s="3">
        <v>4.2210000000000001</v>
      </c>
      <c r="E10" s="41">
        <v>1.956</v>
      </c>
      <c r="F10" s="1" t="str">
        <f>HYPERLINK("http://www.ncbi.nlm.nih.gov/pubmed/?term=Robo2","Robo2")</f>
        <v>Robo2</v>
      </c>
    </row>
    <row r="11" spans="1:6" x14ac:dyDescent="0.25">
      <c r="A11" t="s">
        <v>1462</v>
      </c>
      <c r="B11" t="s">
        <v>472</v>
      </c>
      <c r="C11" s="41">
        <v>1.5960000000000001</v>
      </c>
      <c r="D11" s="3">
        <v>4.1500000000000004</v>
      </c>
      <c r="E11" s="22">
        <v>2.593</v>
      </c>
      <c r="F11" s="1" t="str">
        <f>HYPERLINK("http://www.ncbi.nlm.nih.gov/pubmed/?term=Fes","Fes")</f>
        <v>Fes</v>
      </c>
    </row>
    <row r="12" spans="1:6" x14ac:dyDescent="0.25">
      <c r="A12" t="s">
        <v>1684</v>
      </c>
      <c r="B12" t="s">
        <v>2147</v>
      </c>
      <c r="C12" s="26">
        <v>-2.2400000000000002</v>
      </c>
      <c r="D12" s="41">
        <v>1.528</v>
      </c>
      <c r="E12" s="3">
        <v>3.867</v>
      </c>
      <c r="F12" s="1" t="str">
        <f>HYPERLINK("http://www.ncbi.nlm.nih.gov/pubmed/?term=Epha2","Epha2")</f>
        <v>Epha2</v>
      </c>
    </row>
    <row r="13" spans="1:6" x14ac:dyDescent="0.25">
      <c r="A13" t="s">
        <v>1582</v>
      </c>
      <c r="B13" t="s">
        <v>2014</v>
      </c>
      <c r="C13" s="26">
        <v>-4.0759999999999996</v>
      </c>
      <c r="D13" s="26">
        <v>-1.284</v>
      </c>
      <c r="E13" s="3">
        <v>4.3760000000000003</v>
      </c>
      <c r="F13" s="1" t="str">
        <f>HYPERLINK("http://www.ncbi.nlm.nih.gov/pubmed/?term=Slit1","Slit1")</f>
        <v>Slit1</v>
      </c>
    </row>
    <row r="14" spans="1:6" x14ac:dyDescent="0.25">
      <c r="A14" t="s">
        <v>842</v>
      </c>
      <c r="B14" t="s">
        <v>1041</v>
      </c>
      <c r="C14" s="26">
        <v>6.5780000000000005E-2</v>
      </c>
      <c r="D14" s="22">
        <v>2.7519999999999998</v>
      </c>
      <c r="E14" s="16">
        <v>4.6470000000000002</v>
      </c>
      <c r="F14" s="1" t="str">
        <f>HYPERLINK("http://www.ncbi.nlm.nih.gov/pubmed/?term=Nfatc2","Nfatc2")</f>
        <v>Nfatc2</v>
      </c>
    </row>
    <row r="15" spans="1:6" x14ac:dyDescent="0.25">
      <c r="A15" t="s">
        <v>467</v>
      </c>
      <c r="B15" t="s">
        <v>1332</v>
      </c>
      <c r="C15" s="26">
        <v>0.1988</v>
      </c>
      <c r="D15" s="3">
        <v>3.871</v>
      </c>
      <c r="E15" s="16">
        <v>5.2850000000000001</v>
      </c>
      <c r="F15" s="1" t="str">
        <f>HYPERLINK("http://www.ncbi.nlm.nih.gov/pubmed/?term=Sema4a","Sema4a")</f>
        <v>Sema4a</v>
      </c>
    </row>
    <row r="16" spans="1:6" x14ac:dyDescent="0.25">
      <c r="A16" t="s">
        <v>674</v>
      </c>
      <c r="B16" t="s">
        <v>1949</v>
      </c>
      <c r="C16" s="22">
        <v>2.6110000000000002</v>
      </c>
      <c r="D16" s="3">
        <v>4.2789999999999999</v>
      </c>
      <c r="E16" s="43">
        <v>6.8239999999999998</v>
      </c>
      <c r="F16" s="1" t="str">
        <f>HYPERLINK("http://www.ncbi.nlm.nih.gov/pubmed/?term=Rac2","Rac2")</f>
        <v>Rac2</v>
      </c>
    </row>
    <row r="17" spans="1:6" x14ac:dyDescent="0.25">
      <c r="A17" t="s">
        <v>1593</v>
      </c>
      <c r="B17" t="s">
        <v>765</v>
      </c>
      <c r="C17" s="26">
        <v>-3.9449999999999998</v>
      </c>
      <c r="D17" s="22">
        <v>2.8140000000000001</v>
      </c>
      <c r="E17" s="16">
        <v>4.9539999999999997</v>
      </c>
      <c r="F17" s="1" t="str">
        <f>HYPERLINK("http://www.ncbi.nlm.nih.gov/pubmed/?term=Ntng2","Ntng2")</f>
        <v>Ntng2</v>
      </c>
    </row>
    <row r="18" spans="1:6" x14ac:dyDescent="0.25">
      <c r="A18" t="s">
        <v>106</v>
      </c>
      <c r="B18" t="s">
        <v>1138</v>
      </c>
      <c r="C18" s="26">
        <v>0.3458</v>
      </c>
      <c r="D18" s="41">
        <v>2.1070000000000002</v>
      </c>
      <c r="E18" s="3">
        <v>4.32</v>
      </c>
      <c r="F18" s="1" t="str">
        <f>HYPERLINK("http://www.ncbi.nlm.nih.gov/pubmed/?term=Sema7a","Sema7a")</f>
        <v>Sema7a</v>
      </c>
    </row>
    <row r="19" spans="1:6" x14ac:dyDescent="0.25">
      <c r="A19" t="s">
        <v>411</v>
      </c>
      <c r="B19" t="s">
        <v>2085</v>
      </c>
      <c r="C19" s="26">
        <v>-2.16</v>
      </c>
      <c r="D19" s="41">
        <v>2.4990000000000001</v>
      </c>
      <c r="E19" s="16">
        <v>4.8040000000000003</v>
      </c>
      <c r="F19" s="1" t="str">
        <f>HYPERLINK("http://www.ncbi.nlm.nih.gov/pubmed/?term=Sema3b","Sema3b")</f>
        <v>Sema3b</v>
      </c>
    </row>
    <row r="20" spans="1:6" x14ac:dyDescent="0.25">
      <c r="A20" t="s">
        <v>1004</v>
      </c>
      <c r="B20" t="s">
        <v>1240</v>
      </c>
      <c r="C20" s="16">
        <v>4.9240000000000004</v>
      </c>
      <c r="D20" s="16">
        <v>5.14</v>
      </c>
      <c r="E20" s="3">
        <v>3.9609999999999999</v>
      </c>
      <c r="F20" s="1" t="str">
        <f>HYPERLINK("http://www.ncbi.nlm.nih.gov/pubmed/?term=Nfat5","Nfat5")</f>
        <v>Nfat5</v>
      </c>
    </row>
    <row r="21" spans="1:6" x14ac:dyDescent="0.25">
      <c r="A21" t="s">
        <v>1642</v>
      </c>
      <c r="B21" t="s">
        <v>1770</v>
      </c>
      <c r="C21" s="16">
        <v>5.0229999999999997</v>
      </c>
      <c r="D21" s="43">
        <v>5.766</v>
      </c>
      <c r="E21" s="3">
        <v>3.9350000000000001</v>
      </c>
      <c r="F21" s="1" t="str">
        <f>HYPERLINK("http://www.ncbi.nlm.nih.gov/pubmed/?term=Limk2","Limk2")</f>
        <v>Limk2</v>
      </c>
    </row>
    <row r="22" spans="1:6" x14ac:dyDescent="0.25">
      <c r="A22" t="s">
        <v>1693</v>
      </c>
      <c r="B22" t="s">
        <v>2086</v>
      </c>
      <c r="C22" s="22">
        <v>2.609</v>
      </c>
      <c r="D22" s="22">
        <v>3.3660000000000001</v>
      </c>
      <c r="E22" s="41">
        <v>2.258</v>
      </c>
      <c r="F22" s="1" t="str">
        <f>HYPERLINK("http://www.ncbi.nlm.nih.gov/pubmed/?term=Srgap2","Srgap2")</f>
        <v>Srgap2</v>
      </c>
    </row>
    <row r="23" spans="1:6" x14ac:dyDescent="0.25">
      <c r="A23" t="s">
        <v>768</v>
      </c>
      <c r="B23" t="s">
        <v>454</v>
      </c>
      <c r="C23" s="3">
        <v>4.3339999999999996</v>
      </c>
      <c r="D23" s="16">
        <v>4.8819999999999997</v>
      </c>
      <c r="E23" s="3">
        <v>3.7810000000000001</v>
      </c>
      <c r="F23" s="1" t="str">
        <f>HYPERLINK("http://www.ncbi.nlm.nih.gov/pubmed/?term=Ephb4","Ephb4")</f>
        <v>Ephb4</v>
      </c>
    </row>
    <row r="24" spans="1:6" x14ac:dyDescent="0.25">
      <c r="A24" t="s">
        <v>2057</v>
      </c>
      <c r="B24" t="s">
        <v>915</v>
      </c>
      <c r="C24" s="22">
        <v>3.351</v>
      </c>
      <c r="D24" s="3">
        <v>3.8220000000000001</v>
      </c>
      <c r="E24" s="21">
        <v>0.72489999999999999</v>
      </c>
      <c r="F24" s="1" t="str">
        <f>HYPERLINK("http://www.ncbi.nlm.nih.gov/pubmed/?term=Ephb6","Ephb6")</f>
        <v>Ephb6</v>
      </c>
    </row>
    <row r="25" spans="1:6" x14ac:dyDescent="0.25">
      <c r="A25" t="s">
        <v>802</v>
      </c>
      <c r="B25" t="s">
        <v>2148</v>
      </c>
      <c r="C25" s="3">
        <v>3.8130000000000002</v>
      </c>
      <c r="D25" s="3">
        <v>3.72</v>
      </c>
      <c r="E25" s="21">
        <v>1.415</v>
      </c>
      <c r="F25" s="1" t="str">
        <f>HYPERLINK("http://www.ncbi.nlm.nih.gov/pubmed/?term=Epha1","Epha1")</f>
        <v>Epha1</v>
      </c>
    </row>
    <row r="26" spans="1:6" x14ac:dyDescent="0.25">
      <c r="A26" t="s">
        <v>1035</v>
      </c>
      <c r="B26" t="s">
        <v>511</v>
      </c>
      <c r="C26" s="43">
        <v>5.8609999999999998</v>
      </c>
      <c r="D26" s="43">
        <v>5.7560000000000002</v>
      </c>
      <c r="E26" s="3">
        <v>4.1849999999999996</v>
      </c>
      <c r="F26" s="1" t="str">
        <f>HYPERLINK("http://www.ncbi.nlm.nih.gov/pubmed/?term=Plxnb1","Plxnb1")</f>
        <v>Plxnb1</v>
      </c>
    </row>
    <row r="27" spans="1:6" x14ac:dyDescent="0.25">
      <c r="A27" t="s">
        <v>452</v>
      </c>
      <c r="B27" t="s">
        <v>1740</v>
      </c>
      <c r="C27" s="43">
        <v>5.5750000000000002</v>
      </c>
      <c r="D27" s="3">
        <v>4.0350000000000001</v>
      </c>
      <c r="E27" s="41">
        <v>2.4390000000000001</v>
      </c>
      <c r="F27" s="1" t="str">
        <f>HYPERLINK("http://www.ncbi.nlm.nih.gov/pubmed/?term=Cfl2","Cfl2")</f>
        <v>Cfl2</v>
      </c>
    </row>
    <row r="28" spans="1:6" x14ac:dyDescent="0.25">
      <c r="A28" t="s">
        <v>807</v>
      </c>
      <c r="B28" t="s">
        <v>1950</v>
      </c>
      <c r="C28" s="16">
        <v>5.1239999999999997</v>
      </c>
      <c r="D28" s="22">
        <v>3.4119999999999999</v>
      </c>
      <c r="E28" s="16">
        <v>5.2290000000000001</v>
      </c>
      <c r="F28" s="1" t="str">
        <f>HYPERLINK("http://www.ncbi.nlm.nih.gov/pubmed/?term=Rac3","Rac3")</f>
        <v>Rac3</v>
      </c>
    </row>
    <row r="29" spans="1:6" x14ac:dyDescent="0.25">
      <c r="A29" t="s">
        <v>1299</v>
      </c>
      <c r="B29" t="s">
        <v>1744</v>
      </c>
      <c r="C29" s="3">
        <v>3.6869999999999998</v>
      </c>
      <c r="D29" s="41">
        <v>2.2080000000000002</v>
      </c>
      <c r="E29" s="3">
        <v>3.5710000000000002</v>
      </c>
      <c r="F29" s="1" t="str">
        <f>HYPERLINK("http://www.ncbi.nlm.nih.gov/pubmed/?term=Efna5","Efna5")</f>
        <v>Efna5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1477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853</v>
      </c>
      <c r="B5" t="s">
        <v>1990</v>
      </c>
      <c r="C5" s="26">
        <v>2.0140000000000002E-2</v>
      </c>
      <c r="D5" s="33">
        <v>5.3710000000000004</v>
      </c>
      <c r="E5" s="22">
        <v>4.4320000000000004</v>
      </c>
      <c r="F5" s="1" t="str">
        <f>HYPERLINK("http://www.ncbi.nlm.nih.gov/pubmed/?term=Ccnd1","Ccnd1")</f>
        <v>Ccnd1</v>
      </c>
    </row>
    <row r="6" spans="1:6" x14ac:dyDescent="0.25">
      <c r="A6" t="s">
        <v>538</v>
      </c>
      <c r="B6" t="s">
        <v>1263</v>
      </c>
      <c r="C6" s="33">
        <v>5.3659999999999997</v>
      </c>
      <c r="D6" s="33">
        <v>5.4429999999999996</v>
      </c>
      <c r="E6" s="2">
        <v>7.1589999999999998</v>
      </c>
      <c r="F6" s="1" t="str">
        <f>HYPERLINK("http://www.ncbi.nlm.nih.gov/pubmed/?term=Bax","Bax")</f>
        <v>Bax</v>
      </c>
    </row>
    <row r="7" spans="1:6" x14ac:dyDescent="0.25">
      <c r="A7" t="s">
        <v>333</v>
      </c>
      <c r="B7" t="s">
        <v>1460</v>
      </c>
      <c r="C7" s="26">
        <v>0.44829999999999998</v>
      </c>
      <c r="D7" s="23">
        <v>2.1360000000000001</v>
      </c>
      <c r="E7" s="22">
        <v>3.8809999999999998</v>
      </c>
      <c r="F7" s="1" t="str">
        <f>HYPERLINK("http://www.ncbi.nlm.nih.gov/pubmed/?term=Pik3cb","Pik3cb")</f>
        <v>Pik3cb</v>
      </c>
    </row>
    <row r="8" spans="1:6" x14ac:dyDescent="0.25">
      <c r="A8" t="s">
        <v>674</v>
      </c>
      <c r="B8" t="s">
        <v>1949</v>
      </c>
      <c r="C8" s="18">
        <v>2.6110000000000002</v>
      </c>
      <c r="D8" s="22">
        <v>4.2789999999999999</v>
      </c>
      <c r="E8" s="2">
        <v>6.8239999999999998</v>
      </c>
      <c r="F8" s="1" t="str">
        <f>HYPERLINK("http://www.ncbi.nlm.nih.gov/pubmed/?term=Rac2","Rac2")</f>
        <v>Rac2</v>
      </c>
    </row>
    <row r="9" spans="1:6" x14ac:dyDescent="0.25">
      <c r="A9" t="s">
        <v>1045</v>
      </c>
      <c r="B9" t="s">
        <v>1412</v>
      </c>
      <c r="C9" s="43">
        <v>8.2629999999999999</v>
      </c>
      <c r="D9" s="43">
        <v>8.5969999999999995</v>
      </c>
      <c r="E9" s="2">
        <v>6.7990000000000004</v>
      </c>
      <c r="F9" s="1" t="str">
        <f>HYPERLINK("http://www.ncbi.nlm.nih.gov/pubmed/?term=Fos","Fos")</f>
        <v>Fos</v>
      </c>
    </row>
    <row r="10" spans="1:6" x14ac:dyDescent="0.25">
      <c r="A10" t="s">
        <v>1884</v>
      </c>
      <c r="B10" t="s">
        <v>2000</v>
      </c>
      <c r="C10" s="43">
        <v>8.7729999999999997</v>
      </c>
      <c r="D10" s="43">
        <v>9.0190000000000001</v>
      </c>
      <c r="E10" s="2">
        <v>7.4089999999999998</v>
      </c>
      <c r="F10" s="1" t="str">
        <f>HYPERLINK("http://www.ncbi.nlm.nih.gov/pubmed/?term=Jun","Jun")</f>
        <v>Jun</v>
      </c>
    </row>
    <row r="11" spans="1:6" x14ac:dyDescent="0.25">
      <c r="A11" t="s">
        <v>1223</v>
      </c>
      <c r="B11" t="s">
        <v>760</v>
      </c>
      <c r="C11" s="22">
        <v>4.4809999999999999</v>
      </c>
      <c r="D11" s="22">
        <v>3.556</v>
      </c>
      <c r="E11" s="18">
        <v>3.1720000000000002</v>
      </c>
      <c r="F11" s="1" t="str">
        <f>HYPERLINK("http://www.ncbi.nlm.nih.gov/pubmed/?term=Apc","Apc")</f>
        <v>Apc</v>
      </c>
    </row>
    <row r="12" spans="1:6" x14ac:dyDescent="0.25">
      <c r="A12" t="s">
        <v>31</v>
      </c>
      <c r="B12" t="s">
        <v>400</v>
      </c>
      <c r="C12" s="22">
        <v>4.476</v>
      </c>
      <c r="D12" s="22">
        <v>3.5920000000000001</v>
      </c>
      <c r="E12" s="18">
        <v>3.4319999999999999</v>
      </c>
      <c r="F12" s="1" t="str">
        <f>HYPERLINK("http://www.ncbi.nlm.nih.gov/pubmed/?term=Mapk9","Mapk9")</f>
        <v>Mapk9</v>
      </c>
    </row>
    <row r="13" spans="1:6" x14ac:dyDescent="0.25">
      <c r="A13" t="s">
        <v>834</v>
      </c>
      <c r="B13" t="s">
        <v>1552</v>
      </c>
      <c r="C13" s="33">
        <v>4.516</v>
      </c>
      <c r="D13" s="22">
        <v>3.7549999999999999</v>
      </c>
      <c r="E13" s="18">
        <v>3.4649999999999999</v>
      </c>
      <c r="F13" s="1" t="str">
        <f>HYPERLINK("http://www.ncbi.nlm.nih.gov/pubmed/?term=Mapk8","Mapk8")</f>
        <v>Mapk8</v>
      </c>
    </row>
    <row r="14" spans="1:6" x14ac:dyDescent="0.25">
      <c r="A14" t="s">
        <v>1802</v>
      </c>
      <c r="B14" t="s">
        <v>1244</v>
      </c>
      <c r="C14" s="22">
        <v>4.3979999999999997</v>
      </c>
      <c r="D14" s="22">
        <v>3.976</v>
      </c>
      <c r="E14" s="18">
        <v>3.2570000000000001</v>
      </c>
      <c r="F14" s="1" t="str">
        <f>HYPERLINK("http://www.ncbi.nlm.nih.gov/pubmed/?term=Msh2","Msh2")</f>
        <v>Msh2</v>
      </c>
    </row>
    <row r="15" spans="1:6" x14ac:dyDescent="0.25">
      <c r="A15" t="s">
        <v>1205</v>
      </c>
      <c r="B15" t="s">
        <v>1329</v>
      </c>
      <c r="C15" s="45">
        <v>5.6820000000000004</v>
      </c>
      <c r="D15" s="33">
        <v>5.0220000000000002</v>
      </c>
      <c r="E15" s="33">
        <v>4.7060000000000004</v>
      </c>
      <c r="F15" s="1" t="str">
        <f>HYPERLINK("http://www.ncbi.nlm.nih.gov/pubmed/?term=Pik3r2","Pik3r2")</f>
        <v>Pik3r2</v>
      </c>
    </row>
    <row r="16" spans="1:6" x14ac:dyDescent="0.25">
      <c r="A16" t="s">
        <v>650</v>
      </c>
      <c r="B16" t="s">
        <v>2046</v>
      </c>
      <c r="C16" s="33">
        <v>4.5739999999999998</v>
      </c>
      <c r="D16" s="23">
        <v>2.1139999999999999</v>
      </c>
      <c r="E16" s="26">
        <v>-0.61719999999999997</v>
      </c>
      <c r="F16" s="1" t="str">
        <f>HYPERLINK("http://www.ncbi.nlm.nih.gov/pubmed/?term=Tgfbr2","Tgfbr2")</f>
        <v>Tgfbr2</v>
      </c>
    </row>
    <row r="17" spans="1:6" x14ac:dyDescent="0.25">
      <c r="A17" t="s">
        <v>731</v>
      </c>
      <c r="B17" t="s">
        <v>1330</v>
      </c>
      <c r="C17" s="33">
        <v>4.9180000000000001</v>
      </c>
      <c r="D17" s="33">
        <v>4.8079999999999998</v>
      </c>
      <c r="E17" s="22">
        <v>3.7410000000000001</v>
      </c>
      <c r="F17" s="1" t="str">
        <f>HYPERLINK("http://www.ncbi.nlm.nih.gov/pubmed/?term=Pik3r1","Pik3r1")</f>
        <v>Pik3r1</v>
      </c>
    </row>
    <row r="18" spans="1:6" x14ac:dyDescent="0.25">
      <c r="A18" t="s">
        <v>2024</v>
      </c>
      <c r="B18" t="s">
        <v>15</v>
      </c>
      <c r="C18" s="22">
        <v>3.827</v>
      </c>
      <c r="D18" s="18">
        <v>2.8050000000000002</v>
      </c>
      <c r="E18" s="23">
        <v>2.2109999999999999</v>
      </c>
      <c r="F18" s="1" t="str">
        <f>HYPERLINK("http://www.ncbi.nlm.nih.gov/pubmed/?term=Bcl2","Bcl2")</f>
        <v>Bcl2</v>
      </c>
    </row>
    <row r="19" spans="1:6" x14ac:dyDescent="0.25">
      <c r="A19" t="s">
        <v>159</v>
      </c>
      <c r="B19" t="s">
        <v>1644</v>
      </c>
      <c r="C19" s="2">
        <v>6.5579999999999998</v>
      </c>
      <c r="D19" s="33">
        <v>4.7640000000000002</v>
      </c>
      <c r="E19" s="33">
        <v>5.4039999999999999</v>
      </c>
      <c r="F19" s="1" t="str">
        <f>HYPERLINK("http://www.ncbi.nlm.nih.gov/pubmed/?term=Map2k1","Map2k1")</f>
        <v>Map2k1</v>
      </c>
    </row>
    <row r="20" spans="1:6" x14ac:dyDescent="0.25">
      <c r="A20" t="s">
        <v>1289</v>
      </c>
      <c r="B20" t="s">
        <v>2001</v>
      </c>
      <c r="C20" s="33">
        <v>4.7679999999999998</v>
      </c>
      <c r="D20" s="18">
        <v>2.8929999999999998</v>
      </c>
      <c r="E20" s="18">
        <v>3.339</v>
      </c>
      <c r="F20" s="1" t="str">
        <f>HYPERLINK("http://www.ncbi.nlm.nih.gov/pubmed/?term=Smad3","Smad3")</f>
        <v>Smad3</v>
      </c>
    </row>
  </sheetData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775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1748</v>
      </c>
      <c r="B5" t="s">
        <v>45</v>
      </c>
      <c r="C5" s="26">
        <v>-4.4480000000000004</v>
      </c>
      <c r="D5" s="22">
        <v>3.7269999999999999</v>
      </c>
      <c r="E5" s="26">
        <v>-0.52180000000000004</v>
      </c>
      <c r="F5" s="1" t="str">
        <f>HYPERLINK("http://www.ncbi.nlm.nih.gov/pubmed/?term=Adcy2","Adcy2")</f>
        <v>Adcy2</v>
      </c>
    </row>
    <row r="6" spans="1:6" x14ac:dyDescent="0.25">
      <c r="A6" t="s">
        <v>87</v>
      </c>
      <c r="B6" t="s">
        <v>2034</v>
      </c>
      <c r="C6" s="26">
        <v>-0.22109999999999999</v>
      </c>
      <c r="D6" s="2">
        <v>6.5270000000000001</v>
      </c>
      <c r="E6" s="22">
        <v>3.6469999999999998</v>
      </c>
      <c r="F6" s="1" t="str">
        <f>HYPERLINK("http://www.ncbi.nlm.nih.gov/pubmed/?term=Gnb3","Gnb3")</f>
        <v>Gnb3</v>
      </c>
    </row>
    <row r="7" spans="1:6" x14ac:dyDescent="0.25">
      <c r="A7" t="s">
        <v>287</v>
      </c>
      <c r="B7" t="s">
        <v>367</v>
      </c>
      <c r="C7" s="26">
        <v>-3.1030000000000002</v>
      </c>
      <c r="D7" s="2">
        <v>6.657</v>
      </c>
      <c r="E7" s="22">
        <v>4.4180000000000001</v>
      </c>
      <c r="F7" s="1" t="str">
        <f>HYPERLINK("http://www.ncbi.nlm.nih.gov/pubmed/?term=Gng13","Gng13")</f>
        <v>Gng13</v>
      </c>
    </row>
    <row r="8" spans="1:6" x14ac:dyDescent="0.25">
      <c r="A8" t="s">
        <v>1169</v>
      </c>
      <c r="B8" t="s">
        <v>62</v>
      </c>
      <c r="C8" s="26">
        <v>-2.363</v>
      </c>
      <c r="D8" s="45">
        <v>5.6109999999999998</v>
      </c>
      <c r="E8" s="33">
        <v>5.3639999999999999</v>
      </c>
      <c r="F8" s="1" t="str">
        <f>HYPERLINK("http://www.ncbi.nlm.nih.gov/pubmed/?term=Calm4","Calm4")</f>
        <v>Calm4</v>
      </c>
    </row>
    <row r="9" spans="1:6" x14ac:dyDescent="0.25">
      <c r="A9" t="s">
        <v>1212</v>
      </c>
      <c r="B9" t="s">
        <v>1935</v>
      </c>
      <c r="C9" s="26">
        <v>-0.58730000000000004</v>
      </c>
      <c r="D9" s="45">
        <v>6.1760000000000002</v>
      </c>
      <c r="E9" s="18">
        <v>2.665</v>
      </c>
      <c r="F9" s="1" t="str">
        <f>HYPERLINK("http://www.ncbi.nlm.nih.gov/pubmed/?term=Plcb2","Plcb2")</f>
        <v>Plcb2</v>
      </c>
    </row>
    <row r="10" spans="1:6" x14ac:dyDescent="0.25">
      <c r="A10" t="s">
        <v>1382</v>
      </c>
      <c r="B10" t="s">
        <v>440</v>
      </c>
      <c r="C10" s="26">
        <v>-1.218</v>
      </c>
      <c r="D10" s="22">
        <v>3.7610000000000001</v>
      </c>
      <c r="E10" s="18">
        <v>3.367</v>
      </c>
      <c r="F10" s="1" t="str">
        <f>HYPERLINK("http://www.ncbi.nlm.nih.gov/pubmed/?term=Camk2b","Camk2b")</f>
        <v>Camk2b</v>
      </c>
    </row>
    <row r="11" spans="1:6" x14ac:dyDescent="0.25">
      <c r="A11" t="s">
        <v>2047</v>
      </c>
      <c r="B11" t="s">
        <v>296</v>
      </c>
      <c r="C11" s="26">
        <v>-2.004</v>
      </c>
      <c r="D11" s="26">
        <v>0.45179999999999998</v>
      </c>
      <c r="E11" s="18">
        <v>3.4060000000000001</v>
      </c>
      <c r="F11" s="1" t="str">
        <f>HYPERLINK("http://www.ncbi.nlm.nih.gov/pubmed/?term=Grin2d","Grin2d")</f>
        <v>Grin2d</v>
      </c>
    </row>
    <row r="12" spans="1:6" x14ac:dyDescent="0.25">
      <c r="A12" t="s">
        <v>299</v>
      </c>
      <c r="B12" t="s">
        <v>293</v>
      </c>
      <c r="C12" s="26">
        <v>-0.69020000000000004</v>
      </c>
      <c r="D12" s="13">
        <v>1.2450000000000001</v>
      </c>
      <c r="E12" s="45">
        <v>6.4189999999999996</v>
      </c>
      <c r="F12" s="1" t="str">
        <f>HYPERLINK("http://www.ncbi.nlm.nih.gov/pubmed/?term=Grin2c","Grin2c")</f>
        <v>Grin2c</v>
      </c>
    </row>
    <row r="13" spans="1:6" x14ac:dyDescent="0.25">
      <c r="A13" t="s">
        <v>696</v>
      </c>
      <c r="B13" t="s">
        <v>53</v>
      </c>
      <c r="C13" s="18">
        <v>2.851</v>
      </c>
      <c r="D13" s="18">
        <v>3.177</v>
      </c>
      <c r="E13" s="22">
        <v>3.8690000000000002</v>
      </c>
      <c r="F13" s="1" t="str">
        <f>HYPERLINK("http://www.ncbi.nlm.nih.gov/pubmed/?term=Per1","Per1")</f>
        <v>Per1</v>
      </c>
    </row>
    <row r="14" spans="1:6" x14ac:dyDescent="0.25">
      <c r="A14" t="s">
        <v>435</v>
      </c>
      <c r="B14" t="s">
        <v>870</v>
      </c>
      <c r="C14" s="26">
        <v>-4.5</v>
      </c>
      <c r="D14" s="26">
        <v>-0.57720000000000005</v>
      </c>
      <c r="E14" s="18">
        <v>3.3319999999999999</v>
      </c>
      <c r="F14" s="1" t="str">
        <f>HYPERLINK("http://www.ncbi.nlm.nih.gov/pubmed/?term=Kcnj3","Kcnj3")</f>
        <v>Kcnj3</v>
      </c>
    </row>
    <row r="15" spans="1:6" x14ac:dyDescent="0.25">
      <c r="A15" t="s">
        <v>1375</v>
      </c>
      <c r="B15" t="s">
        <v>416</v>
      </c>
      <c r="C15" s="26">
        <v>0.1993</v>
      </c>
      <c r="D15" s="13">
        <v>1.31</v>
      </c>
      <c r="E15" s="18">
        <v>3.3660000000000001</v>
      </c>
      <c r="F15" s="1" t="str">
        <f>HYPERLINK("http://www.ncbi.nlm.nih.gov/pubmed/?term=Gng2","Gng2")</f>
        <v>Gng2</v>
      </c>
    </row>
    <row r="16" spans="1:6" x14ac:dyDescent="0.25">
      <c r="A16" t="s">
        <v>1093</v>
      </c>
      <c r="B16" t="s">
        <v>1033</v>
      </c>
      <c r="C16" s="26">
        <v>-0.12379999999999999</v>
      </c>
      <c r="D16" s="22">
        <v>3.5990000000000002</v>
      </c>
      <c r="E16" s="33">
        <v>5.4880000000000004</v>
      </c>
      <c r="F16" s="1" t="str">
        <f>HYPERLINK("http://www.ncbi.nlm.nih.gov/pubmed/?term=Rasd1","Rasd1")</f>
        <v>Rasd1</v>
      </c>
    </row>
    <row r="17" spans="1:6" x14ac:dyDescent="0.25">
      <c r="A17" t="s">
        <v>2124</v>
      </c>
      <c r="B17" t="s">
        <v>2188</v>
      </c>
      <c r="C17" s="26">
        <v>-1.919</v>
      </c>
      <c r="D17" s="45">
        <v>5.5629999999999997</v>
      </c>
      <c r="E17" s="45">
        <v>5.6420000000000003</v>
      </c>
      <c r="F17" s="1" t="str">
        <f>HYPERLINK("http://www.ncbi.nlm.nih.gov/pubmed/?term=Calml3","Calml3")</f>
        <v>Calml3</v>
      </c>
    </row>
    <row r="18" spans="1:6" x14ac:dyDescent="0.25">
      <c r="A18" t="s">
        <v>1045</v>
      </c>
      <c r="B18" t="s">
        <v>1412</v>
      </c>
      <c r="C18" s="43">
        <v>8.2629999999999999</v>
      </c>
      <c r="D18" s="43">
        <v>8.5969999999999995</v>
      </c>
      <c r="E18" s="2">
        <v>6.7990000000000004</v>
      </c>
      <c r="F18" s="1" t="str">
        <f>HYPERLINK("http://www.ncbi.nlm.nih.gov/pubmed/?term=Fos","Fos")</f>
        <v>Fos</v>
      </c>
    </row>
    <row r="19" spans="1:6" x14ac:dyDescent="0.25">
      <c r="A19" t="s">
        <v>686</v>
      </c>
      <c r="B19" t="s">
        <v>593</v>
      </c>
      <c r="C19" s="43">
        <v>7.6289999999999996</v>
      </c>
      <c r="D19" s="43">
        <v>8.4730000000000008</v>
      </c>
      <c r="E19" s="2">
        <v>7.0110000000000001</v>
      </c>
      <c r="F19" s="1" t="str">
        <f>HYPERLINK("http://www.ncbi.nlm.nih.gov/pubmed/?term=Calm2","Calm2")</f>
        <v>Calm2</v>
      </c>
    </row>
    <row r="20" spans="1:6" x14ac:dyDescent="0.25">
      <c r="A20" t="s">
        <v>651</v>
      </c>
      <c r="B20" t="s">
        <v>438</v>
      </c>
      <c r="C20" s="18">
        <v>3.008</v>
      </c>
      <c r="D20" s="22">
        <v>4.3090000000000002</v>
      </c>
      <c r="E20" s="23">
        <v>2.335</v>
      </c>
      <c r="F20" s="1" t="str">
        <f>HYPERLINK("http://www.ncbi.nlm.nih.gov/pubmed/?term=Camk2d","Camk2d")</f>
        <v>Camk2d</v>
      </c>
    </row>
    <row r="21" spans="1:6" x14ac:dyDescent="0.25">
      <c r="A21" t="s">
        <v>1143</v>
      </c>
      <c r="B21" t="s">
        <v>595</v>
      </c>
      <c r="C21" s="2">
        <v>6.7370000000000001</v>
      </c>
      <c r="D21" s="45">
        <v>6.1340000000000003</v>
      </c>
      <c r="E21" s="45">
        <v>5.6020000000000003</v>
      </c>
      <c r="F21" s="1" t="str">
        <f>HYPERLINK("http://www.ncbi.nlm.nih.gov/pubmed/?term=Calm1","Calm1")</f>
        <v>Calm1</v>
      </c>
    </row>
    <row r="22" spans="1:6" x14ac:dyDescent="0.25">
      <c r="A22" t="s">
        <v>1506</v>
      </c>
      <c r="B22" t="s">
        <v>1331</v>
      </c>
      <c r="C22" s="33">
        <v>4.74</v>
      </c>
      <c r="D22" s="22">
        <v>3.9580000000000002</v>
      </c>
      <c r="E22" s="18">
        <v>2.786</v>
      </c>
      <c r="F22" s="1" t="str">
        <f>HYPERLINK("http://www.ncbi.nlm.nih.gov/pubmed/?term=Prkacb","Prkacb")</f>
        <v>Prkacb</v>
      </c>
    </row>
    <row r="23" spans="1:6" x14ac:dyDescent="0.25">
      <c r="A23" t="s">
        <v>2079</v>
      </c>
      <c r="B23" t="s">
        <v>439</v>
      </c>
      <c r="C23" s="22">
        <v>4.1420000000000003</v>
      </c>
      <c r="D23" s="18">
        <v>3.1230000000000002</v>
      </c>
      <c r="E23" s="18">
        <v>2.609</v>
      </c>
      <c r="F23" s="1" t="str">
        <f>HYPERLINK("http://www.ncbi.nlm.nih.gov/pubmed/?term=Camk2g","Camk2g")</f>
        <v>Camk2g</v>
      </c>
    </row>
    <row r="24" spans="1:6" x14ac:dyDescent="0.25">
      <c r="A24" t="s">
        <v>49</v>
      </c>
      <c r="B24" t="s">
        <v>1564</v>
      </c>
      <c r="C24" s="33">
        <v>4.6529999999999996</v>
      </c>
      <c r="D24" s="22">
        <v>3.782</v>
      </c>
      <c r="E24" s="23">
        <v>2.4590000000000001</v>
      </c>
      <c r="F24" s="1" t="str">
        <f>HYPERLINK("http://www.ncbi.nlm.nih.gov/pubmed/?term=Gnaq","Gnaq")</f>
        <v>Gnaq</v>
      </c>
    </row>
    <row r="25" spans="1:6" x14ac:dyDescent="0.25">
      <c r="A25" t="s">
        <v>329</v>
      </c>
      <c r="B25" t="s">
        <v>54</v>
      </c>
      <c r="C25" s="33">
        <v>5.2060000000000004</v>
      </c>
      <c r="D25" s="33">
        <v>4.9320000000000004</v>
      </c>
      <c r="E25" s="22">
        <v>4.3140000000000001</v>
      </c>
      <c r="F25" s="1" t="str">
        <f>HYPERLINK("http://www.ncbi.nlm.nih.gov/pubmed/?term=Gng12","Gng12")</f>
        <v>Gng12</v>
      </c>
    </row>
    <row r="26" spans="1:6" x14ac:dyDescent="0.25">
      <c r="A26" t="s">
        <v>1503</v>
      </c>
      <c r="B26" t="s">
        <v>1220</v>
      </c>
      <c r="C26" s="22">
        <v>3.55</v>
      </c>
      <c r="D26" s="13">
        <v>0.51980000000000004</v>
      </c>
      <c r="E26" s="26">
        <v>-0.80700000000000005</v>
      </c>
      <c r="F26" s="1" t="str">
        <f>HYPERLINK("http://www.ncbi.nlm.nih.gov/pubmed/?term=Gucy1a2","Gucy1a2")</f>
        <v>Gucy1a2</v>
      </c>
    </row>
    <row r="27" spans="1:6" x14ac:dyDescent="0.25">
      <c r="A27" t="s">
        <v>692</v>
      </c>
      <c r="B27" t="s">
        <v>88</v>
      </c>
      <c r="C27" s="18">
        <v>2.6360000000000001</v>
      </c>
      <c r="D27" s="23">
        <v>1.611</v>
      </c>
      <c r="E27" s="22">
        <v>4.3449999999999998</v>
      </c>
      <c r="F27" s="1" t="str">
        <f>HYPERLINK("http://www.ncbi.nlm.nih.gov/pubmed/?term=Gria3","Gria3")</f>
        <v>Gria3</v>
      </c>
    </row>
    <row r="28" spans="1:6" x14ac:dyDescent="0.25">
      <c r="A28" t="s">
        <v>482</v>
      </c>
      <c r="B28" t="s">
        <v>44</v>
      </c>
      <c r="C28" s="26">
        <v>7.9680000000000001E-2</v>
      </c>
      <c r="D28" s="26">
        <v>-0.70120000000000005</v>
      </c>
      <c r="E28" s="22">
        <v>3.97</v>
      </c>
      <c r="F28" s="1" t="str">
        <f>HYPERLINK("http://www.ncbi.nlm.nih.gov/pubmed/?term=Adcy1","Adcy1")</f>
        <v>Adcy1</v>
      </c>
    </row>
    <row r="29" spans="1:6" x14ac:dyDescent="0.25">
      <c r="A29" t="s">
        <v>1671</v>
      </c>
      <c r="B29" t="s">
        <v>2033</v>
      </c>
      <c r="C29" s="33">
        <v>4.8159999999999998</v>
      </c>
      <c r="D29" s="22">
        <v>4.3280000000000003</v>
      </c>
      <c r="E29" s="2">
        <v>6.96</v>
      </c>
      <c r="F29" s="1" t="str">
        <f>HYPERLINK("http://www.ncbi.nlm.nih.gov/pubmed/?term=Gnb4","Gnb4")</f>
        <v>Gnb4</v>
      </c>
    </row>
    <row r="30" spans="1:6" x14ac:dyDescent="0.25">
      <c r="A30" t="s">
        <v>973</v>
      </c>
      <c r="B30" t="s">
        <v>1936</v>
      </c>
      <c r="C30" s="33">
        <v>4.9489999999999998</v>
      </c>
      <c r="D30" s="22">
        <v>4.2130000000000001</v>
      </c>
      <c r="E30" s="45">
        <v>5.6050000000000004</v>
      </c>
      <c r="F30" s="1" t="str">
        <f>HYPERLINK("http://www.ncbi.nlm.nih.gov/pubmed/?term=Plcb4","Plcb4")</f>
        <v>Plcb4</v>
      </c>
    </row>
    <row r="31" spans="1:6" x14ac:dyDescent="0.25">
      <c r="A31" t="s">
        <v>1880</v>
      </c>
      <c r="B31" t="s">
        <v>1077</v>
      </c>
      <c r="C31" s="22">
        <v>3.6549999999999998</v>
      </c>
      <c r="D31" s="18">
        <v>3.3140000000000001</v>
      </c>
      <c r="E31" s="45">
        <v>6.2270000000000003</v>
      </c>
      <c r="F31" s="1" t="str">
        <f>HYPERLINK("http://www.ncbi.nlm.nih.gov/pubmed/?term=Prkca","Prkca")</f>
        <v>Prkca</v>
      </c>
    </row>
    <row r="32" spans="1:6" x14ac:dyDescent="0.25">
      <c r="A32" t="s">
        <v>1907</v>
      </c>
      <c r="B32" t="s">
        <v>594</v>
      </c>
      <c r="C32" s="2">
        <v>6.91</v>
      </c>
      <c r="D32" s="45">
        <v>6.0519999999999996</v>
      </c>
      <c r="E32" s="45">
        <v>6.492</v>
      </c>
      <c r="F32" s="1" t="str">
        <f>HYPERLINK("http://www.ncbi.nlm.nih.gov/pubmed/?term=Calm3","Calm3")</f>
        <v>Calm3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685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2016</v>
      </c>
      <c r="B5" t="s">
        <v>1464</v>
      </c>
      <c r="C5" s="26">
        <v>-0.25159999999999999</v>
      </c>
      <c r="D5" s="27">
        <v>4.952</v>
      </c>
      <c r="E5" s="14">
        <v>0.69540000000000002</v>
      </c>
      <c r="F5" s="1" t="str">
        <f>HYPERLINK("http://www.ncbi.nlm.nih.gov/pubmed/?term=Pik3cg","Pik3cg")</f>
        <v>Pik3cg</v>
      </c>
    </row>
    <row r="6" spans="1:6" x14ac:dyDescent="0.25">
      <c r="A6" t="s">
        <v>1335</v>
      </c>
      <c r="B6" t="s">
        <v>1328</v>
      </c>
      <c r="C6" s="14">
        <v>0.53520000000000001</v>
      </c>
      <c r="D6" s="28">
        <v>5.8090000000000002</v>
      </c>
      <c r="E6" s="47">
        <v>2.5489999999999999</v>
      </c>
      <c r="F6" s="1" t="str">
        <f>HYPERLINK("http://www.ncbi.nlm.nih.gov/pubmed/?term=Pik3r5","Pik3r5")</f>
        <v>Pik3r5</v>
      </c>
    </row>
    <row r="7" spans="1:6" x14ac:dyDescent="0.25">
      <c r="A7" t="s">
        <v>1169</v>
      </c>
      <c r="B7" t="s">
        <v>62</v>
      </c>
      <c r="C7" s="26">
        <v>-2.363</v>
      </c>
      <c r="D7" s="28">
        <v>5.6109999999999998</v>
      </c>
      <c r="E7" s="27">
        <v>5.3639999999999999</v>
      </c>
      <c r="F7" s="1" t="str">
        <f>HYPERLINK("http://www.ncbi.nlm.nih.gov/pubmed/?term=Calm4","Calm4")</f>
        <v>Calm4</v>
      </c>
    </row>
    <row r="8" spans="1:6" x14ac:dyDescent="0.25">
      <c r="A8" t="s">
        <v>276</v>
      </c>
      <c r="B8" t="s">
        <v>1181</v>
      </c>
      <c r="C8" s="47">
        <v>2.7959999999999998</v>
      </c>
      <c r="D8" s="27">
        <v>4.8380000000000001</v>
      </c>
      <c r="E8" s="47">
        <v>3.4089999999999998</v>
      </c>
      <c r="F8" s="1" t="str">
        <f>HYPERLINK("http://www.ncbi.nlm.nih.gov/pubmed/?term=Plcg2","Plcg2")</f>
        <v>Plcg2</v>
      </c>
    </row>
    <row r="9" spans="1:6" x14ac:dyDescent="0.25">
      <c r="A9" t="s">
        <v>1382</v>
      </c>
      <c r="B9" t="s">
        <v>440</v>
      </c>
      <c r="C9" s="26">
        <v>-1.218</v>
      </c>
      <c r="D9" s="42">
        <v>3.7610000000000001</v>
      </c>
      <c r="E9" s="47">
        <v>3.367</v>
      </c>
      <c r="F9" s="1" t="str">
        <f>HYPERLINK("http://www.ncbi.nlm.nih.gov/pubmed/?term=Camk2b","Camk2b")</f>
        <v>Camk2b</v>
      </c>
    </row>
    <row r="10" spans="1:6" x14ac:dyDescent="0.25">
      <c r="A10" t="s">
        <v>853</v>
      </c>
      <c r="B10" t="s">
        <v>1990</v>
      </c>
      <c r="C10" s="26">
        <v>2.0140000000000002E-2</v>
      </c>
      <c r="D10" s="27">
        <v>5.3710000000000004</v>
      </c>
      <c r="E10" s="42">
        <v>4.4320000000000004</v>
      </c>
      <c r="F10" s="1" t="str">
        <f>HYPERLINK("http://www.ncbi.nlm.nih.gov/pubmed/?term=Ccnd1","Ccnd1")</f>
        <v>Ccnd1</v>
      </c>
    </row>
    <row r="11" spans="1:6" x14ac:dyDescent="0.25">
      <c r="A11" t="s">
        <v>1291</v>
      </c>
      <c r="B11" t="s">
        <v>681</v>
      </c>
      <c r="C11" s="26">
        <v>-1.431</v>
      </c>
      <c r="D11" s="47">
        <v>2.6589999999999998</v>
      </c>
      <c r="E11" s="27">
        <v>4.5880000000000001</v>
      </c>
      <c r="F11" s="1" t="str">
        <f>HYPERLINK("http://www.ncbi.nlm.nih.gov/pubmed/?term=Igf1","Igf1")</f>
        <v>Igf1</v>
      </c>
    </row>
    <row r="12" spans="1:6" x14ac:dyDescent="0.25">
      <c r="A12" t="s">
        <v>567</v>
      </c>
      <c r="B12" t="s">
        <v>1580</v>
      </c>
      <c r="C12" s="42">
        <v>3.569</v>
      </c>
      <c r="D12" s="28">
        <v>5.556</v>
      </c>
      <c r="E12" s="28">
        <v>6.1470000000000002</v>
      </c>
      <c r="F12" s="1" t="str">
        <f>HYPERLINK("http://www.ncbi.nlm.nih.gov/pubmed/?term=Cdkn1a","Cdkn1a")</f>
        <v>Cdkn1a</v>
      </c>
    </row>
    <row r="13" spans="1:6" x14ac:dyDescent="0.25">
      <c r="A13" t="s">
        <v>2023</v>
      </c>
      <c r="B13" t="s">
        <v>897</v>
      </c>
      <c r="C13" s="42">
        <v>4.37</v>
      </c>
      <c r="D13" s="27">
        <v>5.0970000000000004</v>
      </c>
      <c r="E13" s="27">
        <v>5.4119999999999999</v>
      </c>
      <c r="F13" s="1" t="str">
        <f>HYPERLINK("http://www.ncbi.nlm.nih.gov/pubmed/?term=Hras1","Hras1")</f>
        <v>Hras1</v>
      </c>
    </row>
    <row r="14" spans="1:6" x14ac:dyDescent="0.25">
      <c r="A14" t="s">
        <v>333</v>
      </c>
      <c r="B14" t="s">
        <v>1460</v>
      </c>
      <c r="C14" s="26">
        <v>0.44829999999999998</v>
      </c>
      <c r="D14" s="36">
        <v>2.1360000000000001</v>
      </c>
      <c r="E14" s="42">
        <v>3.8809999999999998</v>
      </c>
      <c r="F14" s="1" t="str">
        <f>HYPERLINK("http://www.ncbi.nlm.nih.gov/pubmed/?term=Pik3cb","Pik3cb")</f>
        <v>Pik3cb</v>
      </c>
    </row>
    <row r="15" spans="1:6" x14ac:dyDescent="0.25">
      <c r="A15" t="s">
        <v>823</v>
      </c>
      <c r="B15" t="s">
        <v>1992</v>
      </c>
      <c r="C15" s="26">
        <v>-2.1560000000000001</v>
      </c>
      <c r="D15" s="47">
        <v>3.274</v>
      </c>
      <c r="E15" s="42">
        <v>3.9910000000000001</v>
      </c>
      <c r="F15" s="1" t="str">
        <f>HYPERLINK("http://www.ncbi.nlm.nih.gov/pubmed/?term=Cdkn2a","Cdkn2a")</f>
        <v>Cdkn2a</v>
      </c>
    </row>
    <row r="16" spans="1:6" x14ac:dyDescent="0.25">
      <c r="A16" t="s">
        <v>2124</v>
      </c>
      <c r="B16" t="s">
        <v>2188</v>
      </c>
      <c r="C16" s="26">
        <v>-1.919</v>
      </c>
      <c r="D16" s="28">
        <v>5.5629999999999997</v>
      </c>
      <c r="E16" s="28">
        <v>5.6420000000000003</v>
      </c>
      <c r="F16" s="1" t="str">
        <f>HYPERLINK("http://www.ncbi.nlm.nih.gov/pubmed/?term=Calml3","Calml3")</f>
        <v>Calml3</v>
      </c>
    </row>
    <row r="17" spans="1:6" x14ac:dyDescent="0.25">
      <c r="A17" t="s">
        <v>1334</v>
      </c>
      <c r="B17" t="s">
        <v>5</v>
      </c>
      <c r="C17" s="47">
        <v>3.4769999999999999</v>
      </c>
      <c r="D17" s="42">
        <v>3.6840000000000002</v>
      </c>
      <c r="E17" s="47">
        <v>2.5219999999999998</v>
      </c>
      <c r="F17" s="1" t="str">
        <f>HYPERLINK("http://www.ncbi.nlm.nih.gov/pubmed/?term=Sos1","Sos1")</f>
        <v>Sos1</v>
      </c>
    </row>
    <row r="18" spans="1:6" x14ac:dyDescent="0.25">
      <c r="A18" t="s">
        <v>686</v>
      </c>
      <c r="B18" t="s">
        <v>593</v>
      </c>
      <c r="C18" s="43">
        <v>7.6289999999999996</v>
      </c>
      <c r="D18" s="43">
        <v>8.4730000000000008</v>
      </c>
      <c r="E18" s="43">
        <v>7.0110000000000001</v>
      </c>
      <c r="F18" s="1" t="str">
        <f>HYPERLINK("http://www.ncbi.nlm.nih.gov/pubmed/?term=Calm2","Calm2")</f>
        <v>Calm2</v>
      </c>
    </row>
    <row r="19" spans="1:6" x14ac:dyDescent="0.25">
      <c r="A19" t="s">
        <v>651</v>
      </c>
      <c r="B19" t="s">
        <v>438</v>
      </c>
      <c r="C19" s="47">
        <v>3.008</v>
      </c>
      <c r="D19" s="42">
        <v>4.3090000000000002</v>
      </c>
      <c r="E19" s="36">
        <v>2.335</v>
      </c>
      <c r="F19" s="1" t="str">
        <f>HYPERLINK("http://www.ncbi.nlm.nih.gov/pubmed/?term=Camk2d","Camk2d")</f>
        <v>Camk2d</v>
      </c>
    </row>
    <row r="20" spans="1:6" x14ac:dyDescent="0.25">
      <c r="A20" t="s">
        <v>1143</v>
      </c>
      <c r="B20" t="s">
        <v>595</v>
      </c>
      <c r="C20" s="43">
        <v>6.7370000000000001</v>
      </c>
      <c r="D20" s="28">
        <v>6.1340000000000003</v>
      </c>
      <c r="E20" s="28">
        <v>5.6020000000000003</v>
      </c>
      <c r="F20" s="1" t="str">
        <f>HYPERLINK("http://www.ncbi.nlm.nih.gov/pubmed/?term=Calm1","Calm1")</f>
        <v>Calm1</v>
      </c>
    </row>
    <row r="21" spans="1:6" x14ac:dyDescent="0.25">
      <c r="A21" t="s">
        <v>368</v>
      </c>
      <c r="B21" t="s">
        <v>938</v>
      </c>
      <c r="C21" s="27">
        <v>4.8079999999999998</v>
      </c>
      <c r="D21" s="42">
        <v>3.8130000000000002</v>
      </c>
      <c r="E21" s="42">
        <v>3.5379999999999998</v>
      </c>
      <c r="F21" s="1" t="str">
        <f>HYPERLINK("http://www.ncbi.nlm.nih.gov/pubmed/?term=Igf1r","Igf1r")</f>
        <v>Igf1r</v>
      </c>
    </row>
    <row r="22" spans="1:6" x14ac:dyDescent="0.25">
      <c r="A22" t="s">
        <v>78</v>
      </c>
      <c r="B22" t="s">
        <v>1182</v>
      </c>
      <c r="C22" s="27">
        <v>4.6639999999999997</v>
      </c>
      <c r="D22" s="27">
        <v>4.6269999999999998</v>
      </c>
      <c r="E22" s="47">
        <v>2.9020000000000001</v>
      </c>
      <c r="F22" s="1" t="str">
        <f>HYPERLINK("http://www.ncbi.nlm.nih.gov/pubmed/?term=Plcg1","Plcg1")</f>
        <v>Plcg1</v>
      </c>
    </row>
    <row r="23" spans="1:6" x14ac:dyDescent="0.25">
      <c r="A23" t="s">
        <v>1444</v>
      </c>
      <c r="B23" t="s">
        <v>1417</v>
      </c>
      <c r="C23" s="27">
        <v>4.7190000000000003</v>
      </c>
      <c r="D23" s="42">
        <v>4.1989999999999998</v>
      </c>
      <c r="E23" s="47">
        <v>2.794</v>
      </c>
      <c r="F23" s="1" t="str">
        <f>HYPERLINK("http://www.ncbi.nlm.nih.gov/pubmed/?term=Egfr","Egfr")</f>
        <v>Egfr</v>
      </c>
    </row>
    <row r="24" spans="1:6" x14ac:dyDescent="0.25">
      <c r="A24" t="s">
        <v>2079</v>
      </c>
      <c r="B24" t="s">
        <v>439</v>
      </c>
      <c r="C24" s="42">
        <v>4.1420000000000003</v>
      </c>
      <c r="D24" s="47">
        <v>3.1230000000000002</v>
      </c>
      <c r="E24" s="47">
        <v>2.609</v>
      </c>
      <c r="F24" s="1" t="str">
        <f>HYPERLINK("http://www.ncbi.nlm.nih.gov/pubmed/?term=Camk2g","Camk2g")</f>
        <v>Camk2g</v>
      </c>
    </row>
    <row r="25" spans="1:6" x14ac:dyDescent="0.25">
      <c r="A25" t="s">
        <v>1205</v>
      </c>
      <c r="B25" t="s">
        <v>1329</v>
      </c>
      <c r="C25" s="28">
        <v>5.6820000000000004</v>
      </c>
      <c r="D25" s="27">
        <v>5.0220000000000002</v>
      </c>
      <c r="E25" s="27">
        <v>4.7060000000000004</v>
      </c>
      <c r="F25" s="1" t="str">
        <f>HYPERLINK("http://www.ncbi.nlm.nih.gov/pubmed/?term=Pik3r2","Pik3r2")</f>
        <v>Pik3r2</v>
      </c>
    </row>
    <row r="26" spans="1:6" x14ac:dyDescent="0.25">
      <c r="A26" t="s">
        <v>731</v>
      </c>
      <c r="B26" t="s">
        <v>1330</v>
      </c>
      <c r="C26" s="27">
        <v>4.9180000000000001</v>
      </c>
      <c r="D26" s="27">
        <v>4.8079999999999998</v>
      </c>
      <c r="E26" s="42">
        <v>3.7410000000000001</v>
      </c>
      <c r="F26" s="1" t="str">
        <f>HYPERLINK("http://www.ncbi.nlm.nih.gov/pubmed/?term=Pik3r1","Pik3r1")</f>
        <v>Pik3r1</v>
      </c>
    </row>
    <row r="27" spans="1:6" x14ac:dyDescent="0.25">
      <c r="A27" t="s">
        <v>133</v>
      </c>
      <c r="B27" t="s">
        <v>1453</v>
      </c>
      <c r="C27" s="27">
        <v>4.9180000000000001</v>
      </c>
      <c r="D27" s="27">
        <v>4.5679999999999996</v>
      </c>
      <c r="E27" s="28">
        <v>5.891</v>
      </c>
      <c r="F27" s="1" t="str">
        <f>HYPERLINK("http://www.ncbi.nlm.nih.gov/pubmed/?term=Mdm2","Mdm2")</f>
        <v>Mdm2</v>
      </c>
    </row>
    <row r="28" spans="1:6" x14ac:dyDescent="0.25">
      <c r="A28" t="s">
        <v>1880</v>
      </c>
      <c r="B28" t="s">
        <v>1077</v>
      </c>
      <c r="C28" s="42">
        <v>3.6549999999999998</v>
      </c>
      <c r="D28" s="47">
        <v>3.3140000000000001</v>
      </c>
      <c r="E28" s="28">
        <v>6.2270000000000003</v>
      </c>
      <c r="F28" s="1" t="str">
        <f>HYPERLINK("http://www.ncbi.nlm.nih.gov/pubmed/?term=Prkca","Prkca")</f>
        <v>Prkca</v>
      </c>
    </row>
    <row r="29" spans="1:6" x14ac:dyDescent="0.25">
      <c r="A29" t="s">
        <v>159</v>
      </c>
      <c r="B29" t="s">
        <v>1644</v>
      </c>
      <c r="C29" s="43">
        <v>6.5579999999999998</v>
      </c>
      <c r="D29" s="27">
        <v>4.7640000000000002</v>
      </c>
      <c r="E29" s="27">
        <v>5.4039999999999999</v>
      </c>
      <c r="F29" s="1" t="str">
        <f>HYPERLINK("http://www.ncbi.nlm.nih.gov/pubmed/?term=Map2k1","Map2k1")</f>
        <v>Map2k1</v>
      </c>
    </row>
    <row r="30" spans="1:6" x14ac:dyDescent="0.25">
      <c r="A30" t="s">
        <v>1907</v>
      </c>
      <c r="B30" t="s">
        <v>594</v>
      </c>
      <c r="C30" s="43">
        <v>6.91</v>
      </c>
      <c r="D30" s="28">
        <v>6.0519999999999996</v>
      </c>
      <c r="E30" s="28">
        <v>6.492</v>
      </c>
      <c r="F30" s="1" t="str">
        <f>HYPERLINK("http://www.ncbi.nlm.nih.gov/pubmed/?term=Calm3","Calm3")</f>
        <v>Calm3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1396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418</v>
      </c>
      <c r="B5" t="s">
        <v>776</v>
      </c>
      <c r="C5" s="36">
        <v>1.93</v>
      </c>
      <c r="D5" s="42">
        <v>3.9969999999999999</v>
      </c>
      <c r="E5" s="14">
        <v>1.28</v>
      </c>
      <c r="F5" s="1" t="str">
        <f>HYPERLINK("http://www.ncbi.nlm.nih.gov/pubmed/?term=Aox4","Aox4")</f>
        <v>Aox4</v>
      </c>
    </row>
    <row r="6" spans="1:6" x14ac:dyDescent="0.25">
      <c r="A6" t="s">
        <v>1645</v>
      </c>
      <c r="B6" t="s">
        <v>328</v>
      </c>
      <c r="C6" s="43">
        <v>7.7460000000000004</v>
      </c>
      <c r="D6" s="42">
        <v>4.3209999999999997</v>
      </c>
      <c r="E6" s="42">
        <v>3.7690000000000001</v>
      </c>
      <c r="F6" s="1" t="str">
        <f>HYPERLINK("http://www.ncbi.nlm.nih.gov/pubmed/?term=Psat1","Psat1")</f>
        <v>Psat1</v>
      </c>
    </row>
    <row r="7" spans="1:6" x14ac:dyDescent="0.25">
      <c r="A7" t="s">
        <v>2074</v>
      </c>
      <c r="B7" t="s">
        <v>69</v>
      </c>
      <c r="C7" s="27">
        <v>4.6820000000000004</v>
      </c>
      <c r="D7" s="47">
        <v>2.9039999999999999</v>
      </c>
      <c r="E7" s="47">
        <v>2.5139999999999998</v>
      </c>
      <c r="F7" s="1" t="str">
        <f>HYPERLINK("http://www.ncbi.nlm.nih.gov/pubmed/?term=Pdxk","Pdxk")</f>
        <v>Pdxk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1236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721</v>
      </c>
      <c r="B5" t="s">
        <v>1153</v>
      </c>
      <c r="C5" s="22">
        <v>1.698</v>
      </c>
      <c r="D5" s="22">
        <v>1.7889999999999999</v>
      </c>
      <c r="E5" s="43">
        <v>3.8740000000000001</v>
      </c>
      <c r="F5" s="1" t="str">
        <f>HYPERLINK("http://www.ncbi.nlm.nih.gov/pubmed/?term=Mvd","Mvd")</f>
        <v>Mvd</v>
      </c>
    </row>
    <row r="6" spans="1:6" x14ac:dyDescent="0.25">
      <c r="A6" t="s">
        <v>1364</v>
      </c>
      <c r="B6" t="s">
        <v>1755</v>
      </c>
      <c r="C6" s="43">
        <v>4.6660000000000004</v>
      </c>
      <c r="D6" s="43">
        <v>4.7060000000000004</v>
      </c>
      <c r="E6" s="43">
        <v>3.7679999999999998</v>
      </c>
      <c r="F6" s="1" t="str">
        <f>HYPERLINK("http://www.ncbi.nlm.nih.gov/pubmed/?term=Pcyox1","Pcyox1")</f>
        <v>Pcyox1</v>
      </c>
    </row>
    <row r="7" spans="1:6" x14ac:dyDescent="0.25">
      <c r="A7" t="s">
        <v>718</v>
      </c>
      <c r="B7" t="s">
        <v>3</v>
      </c>
      <c r="C7" s="45">
        <v>3.145</v>
      </c>
      <c r="D7" s="45">
        <v>2.7480000000000002</v>
      </c>
      <c r="E7" s="43">
        <v>3.7610000000000001</v>
      </c>
      <c r="F7" s="1" t="str">
        <f>HYPERLINK("http://www.ncbi.nlm.nih.gov/pubmed/?term=Pmvk","Pmvk")</f>
        <v>Pmvk</v>
      </c>
    </row>
    <row r="8" spans="1:6" x14ac:dyDescent="0.25">
      <c r="A8" t="s">
        <v>1301</v>
      </c>
      <c r="B8" t="s">
        <v>547</v>
      </c>
      <c r="C8" s="43">
        <v>3.524</v>
      </c>
      <c r="D8" s="45">
        <v>3.008</v>
      </c>
      <c r="E8" s="43">
        <v>4.2030000000000003</v>
      </c>
      <c r="F8" s="1" t="str">
        <f>HYPERLINK("http://www.ncbi.nlm.nih.gov/pubmed/?term=Fntb","Fntb")</f>
        <v>Fntb</v>
      </c>
    </row>
    <row r="9" spans="1:6" x14ac:dyDescent="0.25">
      <c r="A9" t="s">
        <v>970</v>
      </c>
      <c r="B9" t="s">
        <v>1394</v>
      </c>
      <c r="C9" s="43">
        <v>4.2240000000000002</v>
      </c>
      <c r="D9" s="45">
        <v>3.0529999999999999</v>
      </c>
      <c r="E9" s="43">
        <v>4.3250000000000002</v>
      </c>
      <c r="F9" s="1" t="str">
        <f>HYPERLINK("http://www.ncbi.nlm.nih.gov/pubmed/?term=Idi1","Idi1")</f>
        <v>Idi1</v>
      </c>
    </row>
    <row r="10" spans="1:6" x14ac:dyDescent="0.25">
      <c r="A10" t="s">
        <v>1366</v>
      </c>
      <c r="B10" t="s">
        <v>97</v>
      </c>
      <c r="C10" s="43">
        <v>5.3230000000000004</v>
      </c>
      <c r="D10" s="43">
        <v>3.5150000000000001</v>
      </c>
      <c r="E10" s="43">
        <v>4.758</v>
      </c>
      <c r="F10" s="1" t="str">
        <f>HYPERLINK("http://www.ncbi.nlm.nih.gov/pubmed/?term=Acat1","Acat1")</f>
        <v>Acat1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642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1447</v>
      </c>
      <c r="B5" t="s">
        <v>1566</v>
      </c>
      <c r="C5" s="26">
        <v>-1.0620000000000001</v>
      </c>
      <c r="D5" s="3">
        <v>3.5369999999999999</v>
      </c>
      <c r="E5" s="41">
        <v>1.7450000000000001</v>
      </c>
      <c r="F5" s="1" t="str">
        <f>HYPERLINK("http://www.ncbi.nlm.nih.gov/pubmed/?term=Socs2","Socs2")</f>
        <v>Socs2</v>
      </c>
    </row>
    <row r="6" spans="1:6" x14ac:dyDescent="0.25">
      <c r="A6" t="s">
        <v>2016</v>
      </c>
      <c r="B6" t="s">
        <v>1464</v>
      </c>
      <c r="C6" s="26">
        <v>-0.25159999999999999</v>
      </c>
      <c r="D6" s="16">
        <v>4.952</v>
      </c>
      <c r="E6" s="21">
        <v>0.69540000000000002</v>
      </c>
      <c r="F6" s="1" t="str">
        <f>HYPERLINK("http://www.ncbi.nlm.nih.gov/pubmed/?term=Pik3cg","Pik3cg")</f>
        <v>Pik3cg</v>
      </c>
    </row>
    <row r="7" spans="1:6" x14ac:dyDescent="0.25">
      <c r="A7" t="s">
        <v>1335</v>
      </c>
      <c r="B7" t="s">
        <v>1328</v>
      </c>
      <c r="C7" s="21">
        <v>0.53520000000000001</v>
      </c>
      <c r="D7" s="43">
        <v>5.8090000000000002</v>
      </c>
      <c r="E7" s="22">
        <v>2.5489999999999999</v>
      </c>
      <c r="F7" s="1" t="str">
        <f>HYPERLINK("http://www.ncbi.nlm.nih.gov/pubmed/?term=Pik3r5","Pik3r5")</f>
        <v>Pik3r5</v>
      </c>
    </row>
    <row r="8" spans="1:6" x14ac:dyDescent="0.25">
      <c r="A8" t="s">
        <v>1955</v>
      </c>
      <c r="B8" t="s">
        <v>459</v>
      </c>
      <c r="C8" s="22">
        <v>2.879</v>
      </c>
      <c r="D8" s="16">
        <v>4.8049999999999997</v>
      </c>
      <c r="E8" s="3">
        <v>4.1870000000000003</v>
      </c>
      <c r="F8" s="1" t="str">
        <f>HYPERLINK("http://www.ncbi.nlm.nih.gov/pubmed/?term=Hk1","Hk1")</f>
        <v>Hk1</v>
      </c>
    </row>
    <row r="9" spans="1:6" x14ac:dyDescent="0.25">
      <c r="A9" t="s">
        <v>695</v>
      </c>
      <c r="B9" t="s">
        <v>362</v>
      </c>
      <c r="C9" s="26">
        <v>-1.089</v>
      </c>
      <c r="D9" s="3">
        <v>3.5209999999999999</v>
      </c>
      <c r="E9" s="43">
        <v>6.6840000000000002</v>
      </c>
      <c r="F9" s="1" t="str">
        <f>HYPERLINK("http://www.ncbi.nlm.nih.gov/pubmed/?term=Cacna1b","Cacna1b")</f>
        <v>Cacna1b</v>
      </c>
    </row>
    <row r="10" spans="1:6" x14ac:dyDescent="0.25">
      <c r="A10" t="s">
        <v>366</v>
      </c>
      <c r="B10" t="s">
        <v>483</v>
      </c>
      <c r="C10" s="22">
        <v>3.0409999999999999</v>
      </c>
      <c r="D10" s="22">
        <v>3.34</v>
      </c>
      <c r="E10" s="16">
        <v>4.9909999999999997</v>
      </c>
      <c r="F10" s="1" t="str">
        <f>HYPERLINK("http://www.ncbi.nlm.nih.gov/pubmed/?term=Insr","Insr")</f>
        <v>Insr</v>
      </c>
    </row>
    <row r="11" spans="1:6" x14ac:dyDescent="0.25">
      <c r="A11" t="s">
        <v>656</v>
      </c>
      <c r="B11" t="s">
        <v>1049</v>
      </c>
      <c r="C11" s="26">
        <v>-1.929</v>
      </c>
      <c r="D11" s="21">
        <v>0.65049999999999997</v>
      </c>
      <c r="E11" s="3">
        <v>4.242</v>
      </c>
      <c r="F11" s="1" t="str">
        <f>HYPERLINK("http://www.ncbi.nlm.nih.gov/pubmed/?term=Tnf","Tnf")</f>
        <v>Tnf</v>
      </c>
    </row>
    <row r="12" spans="1:6" x14ac:dyDescent="0.25">
      <c r="A12" t="s">
        <v>1352</v>
      </c>
      <c r="B12" t="s">
        <v>2160</v>
      </c>
      <c r="C12" s="16">
        <v>4.5460000000000003</v>
      </c>
      <c r="D12" s="16">
        <v>4.9820000000000002</v>
      </c>
      <c r="E12" s="43">
        <v>6.2560000000000002</v>
      </c>
      <c r="F12" s="1" t="str">
        <f>HYPERLINK("http://www.ncbi.nlm.nih.gov/pubmed/?term=Ikbkb","Ikbkb")</f>
        <v>Ikbkb</v>
      </c>
    </row>
    <row r="13" spans="1:6" x14ac:dyDescent="0.25">
      <c r="A13" t="s">
        <v>333</v>
      </c>
      <c r="B13" t="s">
        <v>1460</v>
      </c>
      <c r="C13" s="26">
        <v>0.44829999999999998</v>
      </c>
      <c r="D13" s="41">
        <v>2.1360000000000001</v>
      </c>
      <c r="E13" s="3">
        <v>3.8809999999999998</v>
      </c>
      <c r="F13" s="1" t="str">
        <f>HYPERLINK("http://www.ncbi.nlm.nih.gov/pubmed/?term=Pik3cb","Pik3cb")</f>
        <v>Pik3cb</v>
      </c>
    </row>
    <row r="14" spans="1:6" x14ac:dyDescent="0.25">
      <c r="A14" t="s">
        <v>1374</v>
      </c>
      <c r="B14" t="s">
        <v>1563</v>
      </c>
      <c r="C14" s="3">
        <v>4.0599999999999996</v>
      </c>
      <c r="D14" s="16">
        <v>4.5129999999999999</v>
      </c>
      <c r="E14" s="16">
        <v>5.383</v>
      </c>
      <c r="F14" s="1" t="str">
        <f>HYPERLINK("http://www.ncbi.nlm.nih.gov/pubmed/?term=Socs1","Socs1")</f>
        <v>Socs1</v>
      </c>
    </row>
    <row r="15" spans="1:6" x14ac:dyDescent="0.25">
      <c r="A15" t="s">
        <v>894</v>
      </c>
      <c r="B15" t="s">
        <v>913</v>
      </c>
      <c r="C15" s="26">
        <v>-2.2320000000000002</v>
      </c>
      <c r="D15" s="41">
        <v>1.7230000000000001</v>
      </c>
      <c r="E15" s="3">
        <v>4.2869999999999999</v>
      </c>
      <c r="F15" s="1" t="str">
        <f>HYPERLINK("http://www.ncbi.nlm.nih.gov/pubmed/?term=Abcc8","Abcc8")</f>
        <v>Abcc8</v>
      </c>
    </row>
    <row r="16" spans="1:6" x14ac:dyDescent="0.25">
      <c r="A16" t="s">
        <v>1751</v>
      </c>
      <c r="B16" t="s">
        <v>1930</v>
      </c>
      <c r="C16" s="22">
        <v>3.3719999999999999</v>
      </c>
      <c r="D16" s="3">
        <v>3.956</v>
      </c>
      <c r="E16" s="22">
        <v>2.8140000000000001</v>
      </c>
      <c r="F16" s="1" t="str">
        <f>HYPERLINK("http://www.ncbi.nlm.nih.gov/pubmed/?term=Slc2a4","Slc2a4")</f>
        <v>Slc2a4</v>
      </c>
    </row>
    <row r="17" spans="1:6" x14ac:dyDescent="0.25">
      <c r="A17" t="s">
        <v>31</v>
      </c>
      <c r="B17" t="s">
        <v>400</v>
      </c>
      <c r="C17" s="3">
        <v>4.476</v>
      </c>
      <c r="D17" s="3">
        <v>3.5920000000000001</v>
      </c>
      <c r="E17" s="22">
        <v>3.4319999999999999</v>
      </c>
      <c r="F17" s="1" t="str">
        <f>HYPERLINK("http://www.ncbi.nlm.nih.gov/pubmed/?term=Mapk9","Mapk9")</f>
        <v>Mapk9</v>
      </c>
    </row>
    <row r="18" spans="1:6" x14ac:dyDescent="0.25">
      <c r="A18" t="s">
        <v>834</v>
      </c>
      <c r="B18" t="s">
        <v>1552</v>
      </c>
      <c r="C18" s="16">
        <v>4.516</v>
      </c>
      <c r="D18" s="3">
        <v>3.7549999999999999</v>
      </c>
      <c r="E18" s="22">
        <v>3.4649999999999999</v>
      </c>
      <c r="F18" s="1" t="str">
        <f>HYPERLINK("http://www.ncbi.nlm.nih.gov/pubmed/?term=Mapk8","Mapk8")</f>
        <v>Mapk8</v>
      </c>
    </row>
    <row r="19" spans="1:6" x14ac:dyDescent="0.25">
      <c r="A19" t="s">
        <v>1205</v>
      </c>
      <c r="B19" t="s">
        <v>1329</v>
      </c>
      <c r="C19" s="43">
        <v>5.6820000000000004</v>
      </c>
      <c r="D19" s="16">
        <v>5.0220000000000002</v>
      </c>
      <c r="E19" s="16">
        <v>4.7060000000000004</v>
      </c>
      <c r="F19" s="1" t="str">
        <f>HYPERLINK("http://www.ncbi.nlm.nih.gov/pubmed/?term=Pik3r2","Pik3r2")</f>
        <v>Pik3r2</v>
      </c>
    </row>
    <row r="20" spans="1:6" x14ac:dyDescent="0.25">
      <c r="A20" t="s">
        <v>4</v>
      </c>
      <c r="B20" t="s">
        <v>1096</v>
      </c>
      <c r="C20" s="16">
        <v>5.1150000000000002</v>
      </c>
      <c r="D20" s="3">
        <v>3.7370000000000001</v>
      </c>
      <c r="E20" s="22">
        <v>3.4209999999999998</v>
      </c>
      <c r="F20" s="1" t="str">
        <f>HYPERLINK("http://www.ncbi.nlm.nih.gov/pubmed/?term=Irs2","Irs2")</f>
        <v>Irs2</v>
      </c>
    </row>
    <row r="21" spans="1:6" x14ac:dyDescent="0.25">
      <c r="A21" t="s">
        <v>731</v>
      </c>
      <c r="B21" t="s">
        <v>1330</v>
      </c>
      <c r="C21" s="16">
        <v>4.9180000000000001</v>
      </c>
      <c r="D21" s="16">
        <v>4.8079999999999998</v>
      </c>
      <c r="E21" s="3">
        <v>3.7410000000000001</v>
      </c>
      <c r="F21" s="1" t="str">
        <f>HYPERLINK("http://www.ncbi.nlm.nih.gov/pubmed/?term=Pik3r1","Pik3r1")</f>
        <v>Pik3r1</v>
      </c>
    </row>
    <row r="22" spans="1:6" x14ac:dyDescent="0.25">
      <c r="A22" t="s">
        <v>2078</v>
      </c>
      <c r="B22" t="s">
        <v>1565</v>
      </c>
      <c r="C22" s="43">
        <v>7.383</v>
      </c>
      <c r="D22" s="43">
        <v>6.9610000000000003</v>
      </c>
      <c r="E22" s="16">
        <v>5.0860000000000003</v>
      </c>
      <c r="F22" s="1" t="str">
        <f>HYPERLINK("http://www.ncbi.nlm.nih.gov/pubmed/?term=Socs3","Socs3")</f>
        <v>Socs3</v>
      </c>
    </row>
    <row r="23" spans="1:6" x14ac:dyDescent="0.25">
      <c r="A23" t="s">
        <v>1165</v>
      </c>
      <c r="B23" t="s">
        <v>457</v>
      </c>
      <c r="C23" s="21">
        <v>1.4990000000000001</v>
      </c>
      <c r="D23" s="21">
        <v>0.54100000000000004</v>
      </c>
      <c r="E23" s="3">
        <v>3.887</v>
      </c>
      <c r="F23" s="1" t="str">
        <f>HYPERLINK("http://www.ncbi.nlm.nih.gov/pubmed/?term=Hk2","Hk2")</f>
        <v>Hk2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1765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1098</v>
      </c>
      <c r="B5" t="s">
        <v>929</v>
      </c>
      <c r="C5" s="26">
        <v>-4.3019999999999996</v>
      </c>
      <c r="D5" s="50">
        <v>3.4460000000000002</v>
      </c>
      <c r="E5" s="4">
        <v>2.1880000000000002</v>
      </c>
      <c r="F5" s="1" t="str">
        <f>HYPERLINK("http://www.ncbi.nlm.nih.gov/pubmed/?term=Il10","Il10")</f>
        <v>Il10</v>
      </c>
    </row>
    <row r="6" spans="1:6" x14ac:dyDescent="0.25">
      <c r="A6" t="s">
        <v>1571</v>
      </c>
      <c r="B6" t="s">
        <v>2077</v>
      </c>
      <c r="C6" s="26">
        <v>-1.462</v>
      </c>
      <c r="D6" s="44">
        <v>4.4290000000000003</v>
      </c>
      <c r="E6" s="44">
        <v>3.9550000000000001</v>
      </c>
      <c r="F6" s="1" t="str">
        <f>HYPERLINK("http://www.ncbi.nlm.nih.gov/pubmed/?term=Pigr","Pigr")</f>
        <v>Pigr</v>
      </c>
    </row>
    <row r="7" spans="1:6" x14ac:dyDescent="0.25">
      <c r="A7" t="s">
        <v>1450</v>
      </c>
      <c r="B7" t="s">
        <v>1639</v>
      </c>
      <c r="C7" s="30">
        <v>0.80230000000000001</v>
      </c>
      <c r="D7" s="5">
        <v>5.1109999999999998</v>
      </c>
      <c r="E7" s="6">
        <v>8.3770000000000007</v>
      </c>
      <c r="F7" s="1" t="str">
        <f>HYPERLINK("http://www.ncbi.nlm.nih.gov/pubmed/?term=Icosl","Icosl")</f>
        <v>Icosl</v>
      </c>
    </row>
    <row r="8" spans="1:6" x14ac:dyDescent="0.25">
      <c r="A8" t="s">
        <v>1524</v>
      </c>
      <c r="B8" t="s">
        <v>1499</v>
      </c>
      <c r="C8" s="26">
        <v>-3.9929999999999999</v>
      </c>
      <c r="D8" s="26">
        <v>-2.68</v>
      </c>
      <c r="E8" s="50">
        <v>3.4220000000000002</v>
      </c>
      <c r="F8" s="1" t="str">
        <f>HYPERLINK("http://www.ncbi.nlm.nih.gov/pubmed/?term=Il4","Il4")</f>
        <v>Il4</v>
      </c>
    </row>
    <row r="9" spans="1:6" x14ac:dyDescent="0.25">
      <c r="A9" t="s">
        <v>1898</v>
      </c>
      <c r="B9" t="s">
        <v>1818</v>
      </c>
      <c r="C9" s="26">
        <v>-3.1629999999999998</v>
      </c>
      <c r="D9" s="26">
        <v>-0.94540000000000002</v>
      </c>
      <c r="E9" s="44">
        <v>3.56</v>
      </c>
      <c r="F9" s="1" t="str">
        <f>HYPERLINK("http://www.ncbi.nlm.nih.gov/pubmed/?term=Madcam1","Madcam1")</f>
        <v>Madcam1</v>
      </c>
    </row>
    <row r="10" spans="1:6" x14ac:dyDescent="0.25">
      <c r="A10" t="s">
        <v>444</v>
      </c>
      <c r="B10" t="s">
        <v>1017</v>
      </c>
      <c r="C10" s="26">
        <v>-2.8849999999999998</v>
      </c>
      <c r="D10" s="26">
        <v>-1.643</v>
      </c>
      <c r="E10" s="44">
        <v>4.41</v>
      </c>
      <c r="F10" s="1" t="str">
        <f>HYPERLINK("http://www.ncbi.nlm.nih.gov/pubmed/?term=Tnfrsf17","Tnfrsf17")</f>
        <v>Tnfrsf17</v>
      </c>
    </row>
    <row r="11" spans="1:6" x14ac:dyDescent="0.25">
      <c r="A11" t="s">
        <v>164</v>
      </c>
      <c r="B11" t="s">
        <v>2130</v>
      </c>
      <c r="C11" s="26">
        <v>-2.2599999999999998</v>
      </c>
      <c r="D11" s="26">
        <v>-1.3340000000000001</v>
      </c>
      <c r="E11" s="44">
        <v>3.8769999999999998</v>
      </c>
      <c r="F11" s="1" t="str">
        <f>HYPERLINK("http://www.ncbi.nlm.nih.gov/pubmed/?term=Cd86","Cd86")</f>
        <v>Cd86</v>
      </c>
    </row>
    <row r="12" spans="1:6" x14ac:dyDescent="0.25">
      <c r="A12" t="s">
        <v>1956</v>
      </c>
      <c r="B12" t="s">
        <v>1715</v>
      </c>
      <c r="C12" s="31">
        <v>5.9130000000000003</v>
      </c>
      <c r="D12" s="31">
        <v>5.9269999999999996</v>
      </c>
      <c r="E12" s="6">
        <v>8.0259999999999998</v>
      </c>
      <c r="F12" s="1" t="str">
        <f>HYPERLINK("http://www.ncbi.nlm.nih.gov/pubmed/?term=H2-DMb2","H2-DMb2")</f>
        <v>H2-DMb2</v>
      </c>
    </row>
    <row r="13" spans="1:6" x14ac:dyDescent="0.25">
      <c r="A13" t="s">
        <v>1491</v>
      </c>
      <c r="B13" t="s">
        <v>1428</v>
      </c>
      <c r="C13" s="26">
        <v>-0.41930000000000001</v>
      </c>
      <c r="D13" s="4">
        <v>2.2890000000000001</v>
      </c>
      <c r="E13" s="35">
        <v>6.6079999999999997</v>
      </c>
      <c r="F13" s="1" t="str">
        <f>HYPERLINK("http://www.ncbi.nlm.nih.gov/pubmed/?term=H2-Ob","H2-Ob")</f>
        <v>H2-Ob</v>
      </c>
    </row>
    <row r="14" spans="1:6" x14ac:dyDescent="0.25">
      <c r="A14" t="s">
        <v>1401</v>
      </c>
      <c r="B14" t="s">
        <v>591</v>
      </c>
      <c r="C14" s="49">
        <v>9.7219999999999995</v>
      </c>
      <c r="D14" s="49">
        <v>9.8309999999999995</v>
      </c>
      <c r="E14" s="43">
        <v>11.67</v>
      </c>
      <c r="F14" s="1" t="str">
        <f>HYPERLINK("http://www.ncbi.nlm.nih.gov/pubmed/?term=H2-Eb1","H2-Eb1")</f>
        <v>H2-Eb1</v>
      </c>
    </row>
    <row r="15" spans="1:6" x14ac:dyDescent="0.25">
      <c r="A15" t="s">
        <v>1647</v>
      </c>
      <c r="B15" t="s">
        <v>2128</v>
      </c>
      <c r="C15" s="26">
        <v>-0.96909999999999996</v>
      </c>
      <c r="D15" s="50">
        <v>2.597</v>
      </c>
      <c r="E15" s="35">
        <v>6.5759999999999996</v>
      </c>
      <c r="F15" s="1" t="str">
        <f>HYPERLINK("http://www.ncbi.nlm.nih.gov/pubmed/?term=Cd80","Cd80")</f>
        <v>Cd80</v>
      </c>
    </row>
    <row r="16" spans="1:6" x14ac:dyDescent="0.25">
      <c r="A16" t="s">
        <v>846</v>
      </c>
      <c r="B16" t="s">
        <v>2071</v>
      </c>
      <c r="C16" s="44">
        <v>3.79</v>
      </c>
      <c r="D16" s="26">
        <v>0.25290000000000001</v>
      </c>
      <c r="E16" s="26">
        <v>-1.006</v>
      </c>
      <c r="F16" s="1" t="str">
        <f>HYPERLINK("http://www.ncbi.nlm.nih.gov/pubmed/?term=Itgb7","Itgb7")</f>
        <v>Itgb7</v>
      </c>
    </row>
    <row r="17" spans="1:6" x14ac:dyDescent="0.25">
      <c r="A17" t="s">
        <v>614</v>
      </c>
      <c r="B17" t="s">
        <v>1273</v>
      </c>
      <c r="C17" s="31">
        <v>6.1040000000000001</v>
      </c>
      <c r="D17" s="5">
        <v>4.5590000000000002</v>
      </c>
      <c r="E17" s="50">
        <v>3.2919999999999998</v>
      </c>
      <c r="F17" s="1" t="str">
        <f>HYPERLINK("http://www.ncbi.nlm.nih.gov/pubmed/?term=Ltbr","Ltbr")</f>
        <v>Ltbr</v>
      </c>
    </row>
    <row r="18" spans="1:6" x14ac:dyDescent="0.25">
      <c r="A18" t="s">
        <v>2072</v>
      </c>
      <c r="B18" t="s">
        <v>1589</v>
      </c>
      <c r="C18" s="6">
        <v>8.0980000000000008</v>
      </c>
      <c r="D18" s="4">
        <v>1.8280000000000001</v>
      </c>
      <c r="E18" s="26">
        <v>-1.3660000000000001</v>
      </c>
      <c r="F18" s="1" t="str">
        <f>HYPERLINK("http://www.ncbi.nlm.nih.gov/pubmed/?term=Cxcl12","Cxcl12")</f>
        <v>Cxcl12</v>
      </c>
    </row>
    <row r="19" spans="1:6" x14ac:dyDescent="0.25">
      <c r="A19" t="s">
        <v>1459</v>
      </c>
      <c r="B19" t="s">
        <v>473</v>
      </c>
      <c r="C19" s="50">
        <v>3.3570000000000002</v>
      </c>
      <c r="D19" s="50">
        <v>2.609</v>
      </c>
      <c r="E19" s="44">
        <v>3.7639999999999998</v>
      </c>
      <c r="F19" s="1" t="str">
        <f>HYPERLINK("http://www.ncbi.nlm.nih.gov/pubmed/?term=Tgfb1","Tgfb1")</f>
        <v>Tgfb1</v>
      </c>
    </row>
    <row r="20" spans="1:6" x14ac:dyDescent="0.25">
      <c r="A20" t="s">
        <v>1753</v>
      </c>
      <c r="B20" t="s">
        <v>252</v>
      </c>
      <c r="C20" s="5">
        <v>4.8380000000000001</v>
      </c>
      <c r="D20" s="5">
        <v>4.8330000000000002</v>
      </c>
      <c r="E20" s="35">
        <v>7.3019999999999996</v>
      </c>
      <c r="F20" s="1" t="str">
        <f>HYPERLINK("http://www.ncbi.nlm.nih.gov/pubmed/?term=Cd40","Cd40")</f>
        <v>Cd40</v>
      </c>
    </row>
    <row r="21" spans="1:6" x14ac:dyDescent="0.25">
      <c r="A21" t="s">
        <v>1942</v>
      </c>
      <c r="B21" t="s">
        <v>506</v>
      </c>
      <c r="C21" s="5">
        <v>4.665</v>
      </c>
      <c r="D21" s="44">
        <v>4.1630000000000003</v>
      </c>
      <c r="E21" s="5">
        <v>5.266</v>
      </c>
      <c r="F21" s="1" t="str">
        <f>HYPERLINK("http://www.ncbi.nlm.nih.gov/pubmed/?term=Map3k14","Map3k14")</f>
        <v>Map3k14</v>
      </c>
    </row>
    <row r="22" spans="1:6" x14ac:dyDescent="0.25">
      <c r="A22" t="s">
        <v>1324</v>
      </c>
      <c r="B22" t="s">
        <v>1429</v>
      </c>
      <c r="C22" s="5">
        <v>5.2809999999999997</v>
      </c>
      <c r="D22" s="5">
        <v>5.2389999999999999</v>
      </c>
      <c r="E22" s="6">
        <v>8.2189999999999994</v>
      </c>
      <c r="F22" s="1" t="str">
        <f>HYPERLINK("http://www.ncbi.nlm.nih.gov/pubmed/?term=H2-Oa","H2-Oa")</f>
        <v>H2-Oa</v>
      </c>
    </row>
    <row r="23" spans="1:6" x14ac:dyDescent="0.25">
      <c r="A23" t="s">
        <v>724</v>
      </c>
      <c r="B23" t="s">
        <v>931</v>
      </c>
      <c r="C23" s="50">
        <v>2.7850000000000001</v>
      </c>
      <c r="D23" s="50">
        <v>2.702</v>
      </c>
      <c r="E23" s="5">
        <v>5.0590000000000002</v>
      </c>
      <c r="F23" s="1" t="str">
        <f>HYPERLINK("http://www.ncbi.nlm.nih.gov/pubmed/?term=Il15","Il15")</f>
        <v>Il15</v>
      </c>
    </row>
    <row r="24" spans="1:6" x14ac:dyDescent="0.25">
      <c r="A24" t="s">
        <v>528</v>
      </c>
      <c r="B24" t="s">
        <v>1739</v>
      </c>
      <c r="C24" s="49">
        <v>10.41</v>
      </c>
      <c r="D24" s="49">
        <v>10.1</v>
      </c>
      <c r="E24" s="43">
        <v>12.37</v>
      </c>
      <c r="F24" s="1" t="str">
        <f>HYPERLINK("http://www.ncbi.nlm.nih.gov/pubmed/?term=H2-Aa","H2-Aa")</f>
        <v>H2-Aa</v>
      </c>
    </row>
    <row r="25" spans="1:6" x14ac:dyDescent="0.25">
      <c r="A25" t="s">
        <v>1974</v>
      </c>
      <c r="B25" t="s">
        <v>1270</v>
      </c>
      <c r="C25" s="43">
        <v>10.67</v>
      </c>
      <c r="D25" s="49">
        <v>10.31</v>
      </c>
      <c r="E25" s="43">
        <v>12.36</v>
      </c>
      <c r="F25" s="1" t="str">
        <f>HYPERLINK("http://www.ncbi.nlm.nih.gov/pubmed/?term=H2-Ab1","H2-Ab1")</f>
        <v>H2-Ab1</v>
      </c>
    </row>
    <row r="26" spans="1:6" x14ac:dyDescent="0.25">
      <c r="A26" t="s">
        <v>1468</v>
      </c>
      <c r="B26" t="s">
        <v>1716</v>
      </c>
      <c r="C26" s="5">
        <v>5.3959999999999999</v>
      </c>
      <c r="D26" s="5">
        <v>5.0060000000000002</v>
      </c>
      <c r="E26" s="35">
        <v>6.9</v>
      </c>
      <c r="F26" s="1" t="str">
        <f>HYPERLINK("http://www.ncbi.nlm.nih.gov/pubmed/?term=H2-DMb1","H2-DMb1")</f>
        <v>H2-DMb1</v>
      </c>
    </row>
    <row r="27" spans="1:6" x14ac:dyDescent="0.25">
      <c r="A27" t="s">
        <v>121</v>
      </c>
      <c r="B27" t="s">
        <v>1630</v>
      </c>
      <c r="C27" s="43">
        <v>10.93</v>
      </c>
      <c r="D27" s="44">
        <v>3.8620000000000001</v>
      </c>
      <c r="E27" s="34">
        <v>8.8089999999999993</v>
      </c>
      <c r="F27" s="1" t="str">
        <f>HYPERLINK("http://www.ncbi.nlm.nih.gov/pubmed/?term=Ccl25","Ccl25")</f>
        <v>Ccl25</v>
      </c>
    </row>
    <row r="28" spans="1:6" x14ac:dyDescent="0.25">
      <c r="A28" t="s">
        <v>865</v>
      </c>
      <c r="B28" t="s">
        <v>1044</v>
      </c>
      <c r="C28" s="35">
        <v>6.5350000000000001</v>
      </c>
      <c r="D28" s="5">
        <v>4.9409999999999998</v>
      </c>
      <c r="E28" s="31">
        <v>6.3239999999999998</v>
      </c>
      <c r="F28" s="1" t="str">
        <f>HYPERLINK("http://www.ncbi.nlm.nih.gov/pubmed/?term=H2-DMa","H2-DMa")</f>
        <v>H2-DMa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843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4">
        <v>2.2389999999999999</v>
      </c>
      <c r="D5" s="35">
        <v>7.0960000000000001</v>
      </c>
      <c r="E5" s="5">
        <v>5.49</v>
      </c>
      <c r="F5" s="1" t="str">
        <f>HYPERLINK("http://www.ncbi.nlm.nih.gov/pubmed/?term=Mapk13","Mapk13")</f>
        <v>Mapk13</v>
      </c>
    </row>
    <row r="6" spans="1:6" x14ac:dyDescent="0.25">
      <c r="A6" t="s">
        <v>2016</v>
      </c>
      <c r="B6" t="s">
        <v>1464</v>
      </c>
      <c r="C6" s="26">
        <v>-0.25159999999999999</v>
      </c>
      <c r="D6" s="5">
        <v>4.952</v>
      </c>
      <c r="E6" s="30">
        <v>0.69540000000000002</v>
      </c>
      <c r="F6" s="1" t="str">
        <f>HYPERLINK("http://www.ncbi.nlm.nih.gov/pubmed/?term=Pik3cg","Pik3cg")</f>
        <v>Pik3cg</v>
      </c>
    </row>
    <row r="7" spans="1:6" x14ac:dyDescent="0.25">
      <c r="A7" t="s">
        <v>1335</v>
      </c>
      <c r="B7" t="s">
        <v>1328</v>
      </c>
      <c r="C7" s="30">
        <v>0.53520000000000001</v>
      </c>
      <c r="D7" s="31">
        <v>5.8090000000000002</v>
      </c>
      <c r="E7" s="50">
        <v>2.5489999999999999</v>
      </c>
      <c r="F7" s="1" t="str">
        <f>HYPERLINK("http://www.ncbi.nlm.nih.gov/pubmed/?term=Pik3r5","Pik3r5")</f>
        <v>Pik3r5</v>
      </c>
    </row>
    <row r="8" spans="1:6" x14ac:dyDescent="0.25">
      <c r="A8" t="s">
        <v>1827</v>
      </c>
      <c r="B8" t="s">
        <v>488</v>
      </c>
      <c r="C8" s="5">
        <v>4.6550000000000002</v>
      </c>
      <c r="D8" s="6">
        <v>7.8620000000000001</v>
      </c>
      <c r="E8" s="31">
        <v>6.2220000000000004</v>
      </c>
      <c r="F8" s="1" t="str">
        <f>HYPERLINK("http://www.ncbi.nlm.nih.gov/pubmed/?term=Ivns1abp","Ivns1abp")</f>
        <v>Ivns1abp</v>
      </c>
    </row>
    <row r="9" spans="1:6" x14ac:dyDescent="0.25">
      <c r="A9" t="s">
        <v>611</v>
      </c>
      <c r="B9" t="s">
        <v>1960</v>
      </c>
      <c r="C9" s="30">
        <v>1.1930000000000001</v>
      </c>
      <c r="D9" s="44">
        <v>4.4550000000000001</v>
      </c>
      <c r="E9" s="4">
        <v>1.673</v>
      </c>
      <c r="F9" s="1" t="str">
        <f>HYPERLINK("http://www.ncbi.nlm.nih.gov/pubmed/?term=Oas3","Oas3")</f>
        <v>Oas3</v>
      </c>
    </row>
    <row r="10" spans="1:6" x14ac:dyDescent="0.25">
      <c r="A10" t="s">
        <v>2029</v>
      </c>
      <c r="B10" t="s">
        <v>1738</v>
      </c>
      <c r="C10" s="26">
        <v>-0.31380000000000002</v>
      </c>
      <c r="D10" s="44">
        <v>4.351</v>
      </c>
      <c r="E10" s="4">
        <v>1.8069999999999999</v>
      </c>
      <c r="F10" s="1" t="str">
        <f>HYPERLINK("http://www.ncbi.nlm.nih.gov/pubmed/?term=Tnfsf10","Tnfsf10")</f>
        <v>Tnfsf10</v>
      </c>
    </row>
    <row r="11" spans="1:6" x14ac:dyDescent="0.25">
      <c r="A11" t="s">
        <v>850</v>
      </c>
      <c r="B11" t="s">
        <v>1615</v>
      </c>
      <c r="C11" s="5">
        <v>5.375</v>
      </c>
      <c r="D11" s="6">
        <v>7.7729999999999997</v>
      </c>
      <c r="E11" s="31">
        <v>6.2270000000000003</v>
      </c>
      <c r="F11" s="1" t="str">
        <f>HYPERLINK("http://www.ncbi.nlm.nih.gov/pubmed/?term=Hspa1b","Hspa1b")</f>
        <v>Hspa1b</v>
      </c>
    </row>
    <row r="12" spans="1:6" x14ac:dyDescent="0.25">
      <c r="A12" t="s">
        <v>1975</v>
      </c>
      <c r="B12" t="s">
        <v>1616</v>
      </c>
      <c r="C12" s="44">
        <v>4.4249999999999998</v>
      </c>
      <c r="D12" s="35">
        <v>6.9690000000000003</v>
      </c>
      <c r="E12" s="5">
        <v>5.39</v>
      </c>
      <c r="F12" s="1" t="str">
        <f>HYPERLINK("http://www.ncbi.nlm.nih.gov/pubmed/?term=Hspa1a","Hspa1a")</f>
        <v>Hspa1a</v>
      </c>
    </row>
    <row r="13" spans="1:6" x14ac:dyDescent="0.25">
      <c r="A13" t="s">
        <v>1021</v>
      </c>
      <c r="B13" t="s">
        <v>477</v>
      </c>
      <c r="C13" s="4">
        <v>2.2890000000000001</v>
      </c>
      <c r="D13" s="50">
        <v>2.544</v>
      </c>
      <c r="E13" s="5">
        <v>4.875</v>
      </c>
      <c r="F13" s="1" t="str">
        <f>HYPERLINK("http://www.ncbi.nlm.nih.gov/pubmed/?term=Tmprss2","Tmprss2")</f>
        <v>Tmprss2</v>
      </c>
    </row>
    <row r="14" spans="1:6" x14ac:dyDescent="0.25">
      <c r="A14" t="s">
        <v>1487</v>
      </c>
      <c r="B14" t="s">
        <v>1618</v>
      </c>
      <c r="C14" s="44">
        <v>4.0289999999999999</v>
      </c>
      <c r="D14" s="5">
        <v>4.91</v>
      </c>
      <c r="E14" s="5">
        <v>5.2249999999999996</v>
      </c>
      <c r="F14" s="1" t="str">
        <f>HYPERLINK("http://www.ncbi.nlm.nih.gov/pubmed/?term=Ifngr2","Ifngr2")</f>
        <v>Ifngr2</v>
      </c>
    </row>
    <row r="15" spans="1:6" x14ac:dyDescent="0.25">
      <c r="A15" t="s">
        <v>656</v>
      </c>
      <c r="B15" t="s">
        <v>1049</v>
      </c>
      <c r="C15" s="26">
        <v>-1.929</v>
      </c>
      <c r="D15" s="30">
        <v>0.65049999999999997</v>
      </c>
      <c r="E15" s="44">
        <v>4.242</v>
      </c>
      <c r="F15" s="1" t="str">
        <f>HYPERLINK("http://www.ncbi.nlm.nih.gov/pubmed/?term=Tnf","Tnf")</f>
        <v>Tnf</v>
      </c>
    </row>
    <row r="16" spans="1:6" x14ac:dyDescent="0.25">
      <c r="A16" t="s">
        <v>986</v>
      </c>
      <c r="B16" t="s">
        <v>2073</v>
      </c>
      <c r="C16" s="4">
        <v>2.4039999999999999</v>
      </c>
      <c r="D16" s="44">
        <v>4.0590000000000002</v>
      </c>
      <c r="E16" s="31">
        <v>6.069</v>
      </c>
      <c r="F16" s="1" t="str">
        <f>HYPERLINK("http://www.ncbi.nlm.nih.gov/pubmed/?term=Fas","Fas")</f>
        <v>Fas</v>
      </c>
    </row>
    <row r="17" spans="1:6" x14ac:dyDescent="0.25">
      <c r="A17" t="s">
        <v>918</v>
      </c>
      <c r="B17" t="s">
        <v>2032</v>
      </c>
      <c r="C17" s="50">
        <v>2.6869999999999998</v>
      </c>
      <c r="D17" s="5">
        <v>4.8470000000000004</v>
      </c>
      <c r="E17" s="31">
        <v>6.4870000000000001</v>
      </c>
      <c r="F17" s="1" t="str">
        <f>HYPERLINK("http://www.ncbi.nlm.nih.gov/pubmed/?term=Casp1","Casp1")</f>
        <v>Casp1</v>
      </c>
    </row>
    <row r="18" spans="1:6" x14ac:dyDescent="0.25">
      <c r="A18" t="s">
        <v>391</v>
      </c>
      <c r="B18" t="s">
        <v>558</v>
      </c>
      <c r="C18" s="26">
        <v>-2.9940000000000002</v>
      </c>
      <c r="D18" s="26">
        <v>-4.1790000000000001E-2</v>
      </c>
      <c r="E18" s="31">
        <v>6.1180000000000003</v>
      </c>
      <c r="F18" s="1" t="str">
        <f>HYPERLINK("http://www.ncbi.nlm.nih.gov/pubmed/?term=Il12a","Il12a")</f>
        <v>Il12a</v>
      </c>
    </row>
    <row r="19" spans="1:6" x14ac:dyDescent="0.25">
      <c r="A19" t="s">
        <v>2195</v>
      </c>
      <c r="B19" t="s">
        <v>1912</v>
      </c>
      <c r="C19" s="49">
        <v>9.7509999999999994</v>
      </c>
      <c r="D19" s="49">
        <v>10.18</v>
      </c>
      <c r="E19" s="43">
        <v>11.23</v>
      </c>
      <c r="F19" s="1" t="str">
        <f>HYPERLINK("http://www.ncbi.nlm.nih.gov/pubmed/?term=Actb","Actb")</f>
        <v>Actb</v>
      </c>
    </row>
    <row r="20" spans="1:6" x14ac:dyDescent="0.25">
      <c r="A20" t="s">
        <v>1352</v>
      </c>
      <c r="B20" t="s">
        <v>2160</v>
      </c>
      <c r="C20" s="5">
        <v>4.5460000000000003</v>
      </c>
      <c r="D20" s="5">
        <v>4.9820000000000002</v>
      </c>
      <c r="E20" s="31">
        <v>6.2560000000000002</v>
      </c>
      <c r="F20" s="1" t="str">
        <f>HYPERLINK("http://www.ncbi.nlm.nih.gov/pubmed/?term=Ikbkb","Ikbkb")</f>
        <v>Ikbkb</v>
      </c>
    </row>
    <row r="21" spans="1:6" x14ac:dyDescent="0.25">
      <c r="A21" t="s">
        <v>1115</v>
      </c>
      <c r="B21" t="s">
        <v>479</v>
      </c>
      <c r="C21" s="26">
        <v>-0.42380000000000001</v>
      </c>
      <c r="D21" s="5">
        <v>5.4059999999999997</v>
      </c>
      <c r="E21" s="31">
        <v>5.843</v>
      </c>
      <c r="F21" s="1" t="str">
        <f>HYPERLINK("http://www.ncbi.nlm.nih.gov/pubmed/?term=Tmprss4","Tmprss4")</f>
        <v>Tmprss4</v>
      </c>
    </row>
    <row r="22" spans="1:6" x14ac:dyDescent="0.25">
      <c r="A22" t="s">
        <v>1607</v>
      </c>
      <c r="B22" t="s">
        <v>386</v>
      </c>
      <c r="C22" s="50">
        <v>2.9220000000000002</v>
      </c>
      <c r="D22" s="50">
        <v>2.9729999999999999</v>
      </c>
      <c r="E22" s="44">
        <v>4.1470000000000002</v>
      </c>
      <c r="F22" s="1" t="str">
        <f>HYPERLINK("http://www.ncbi.nlm.nih.gov/pubmed/?term=Tyk2","Tyk2")</f>
        <v>Tyk2</v>
      </c>
    </row>
    <row r="23" spans="1:6" x14ac:dyDescent="0.25">
      <c r="A23" t="s">
        <v>333</v>
      </c>
      <c r="B23" t="s">
        <v>1460</v>
      </c>
      <c r="C23" s="26">
        <v>0.44829999999999998</v>
      </c>
      <c r="D23" s="4">
        <v>2.1360000000000001</v>
      </c>
      <c r="E23" s="44">
        <v>3.8809999999999998</v>
      </c>
      <c r="F23" s="1" t="str">
        <f>HYPERLINK("http://www.ncbi.nlm.nih.gov/pubmed/?term=Pik3cb","Pik3cb")</f>
        <v>Pik3cb</v>
      </c>
    </row>
    <row r="24" spans="1:6" x14ac:dyDescent="0.25">
      <c r="A24" t="s">
        <v>22</v>
      </c>
      <c r="B24" t="s">
        <v>1430</v>
      </c>
      <c r="C24" s="50">
        <v>2.6739999999999999</v>
      </c>
      <c r="D24" s="50">
        <v>3.2469999999999999</v>
      </c>
      <c r="E24" s="5">
        <v>5.35</v>
      </c>
      <c r="F24" s="1" t="str">
        <f>HYPERLINK("http://www.ncbi.nlm.nih.gov/pubmed/?term=Ccl5","Ccl5")</f>
        <v>Ccl5</v>
      </c>
    </row>
    <row r="25" spans="1:6" x14ac:dyDescent="0.25">
      <c r="A25" t="s">
        <v>1956</v>
      </c>
      <c r="B25" t="s">
        <v>1715</v>
      </c>
      <c r="C25" s="31">
        <v>5.9130000000000003</v>
      </c>
      <c r="D25" s="31">
        <v>5.9269999999999996</v>
      </c>
      <c r="E25" s="6">
        <v>8.0259999999999998</v>
      </c>
      <c r="F25" s="1" t="str">
        <f>HYPERLINK("http://www.ncbi.nlm.nih.gov/pubmed/?term=H2-DMb2","H2-DMb2")</f>
        <v>H2-DMb2</v>
      </c>
    </row>
    <row r="26" spans="1:6" x14ac:dyDescent="0.25">
      <c r="A26" t="s">
        <v>1491</v>
      </c>
      <c r="B26" t="s">
        <v>1428</v>
      </c>
      <c r="C26" s="26">
        <v>-0.41930000000000001</v>
      </c>
      <c r="D26" s="4">
        <v>2.2890000000000001</v>
      </c>
      <c r="E26" s="35">
        <v>6.6079999999999997</v>
      </c>
      <c r="F26" s="1" t="str">
        <f>HYPERLINK("http://www.ncbi.nlm.nih.gov/pubmed/?term=H2-Ob","H2-Ob")</f>
        <v>H2-Ob</v>
      </c>
    </row>
    <row r="27" spans="1:6" x14ac:dyDescent="0.25">
      <c r="A27" t="s">
        <v>1287</v>
      </c>
      <c r="B27" t="s">
        <v>2163</v>
      </c>
      <c r="C27" s="30">
        <v>1.2130000000000001</v>
      </c>
      <c r="D27" s="50">
        <v>3.093</v>
      </c>
      <c r="E27" s="44">
        <v>4.367</v>
      </c>
      <c r="F27" s="1" t="str">
        <f>HYPERLINK("http://www.ncbi.nlm.nih.gov/pubmed/?term=Ikbke","Ikbke")</f>
        <v>Ikbke</v>
      </c>
    </row>
    <row r="28" spans="1:6" x14ac:dyDescent="0.25">
      <c r="A28" t="s">
        <v>1401</v>
      </c>
      <c r="B28" t="s">
        <v>591</v>
      </c>
      <c r="C28" s="49">
        <v>9.7219999999999995</v>
      </c>
      <c r="D28" s="49">
        <v>9.8309999999999995</v>
      </c>
      <c r="E28" s="43">
        <v>11.67</v>
      </c>
      <c r="F28" s="1" t="str">
        <f>HYPERLINK("http://www.ncbi.nlm.nih.gov/pubmed/?term=H2-Eb1","H2-Eb1")</f>
        <v>H2-Eb1</v>
      </c>
    </row>
    <row r="29" spans="1:6" x14ac:dyDescent="0.25">
      <c r="A29" t="s">
        <v>1170</v>
      </c>
      <c r="B29" t="s">
        <v>936</v>
      </c>
      <c r="C29" s="30">
        <v>1.103</v>
      </c>
      <c r="D29" s="5">
        <v>5.1909999999999998</v>
      </c>
      <c r="E29" s="31">
        <v>5.53</v>
      </c>
      <c r="F29" s="1" t="str">
        <f>HYPERLINK("http://www.ncbi.nlm.nih.gov/pubmed/?term=Rnasel","Rnasel")</f>
        <v>Rnasel</v>
      </c>
    </row>
    <row r="30" spans="1:6" x14ac:dyDescent="0.25">
      <c r="A30" t="s">
        <v>1937</v>
      </c>
      <c r="B30" t="s">
        <v>2171</v>
      </c>
      <c r="C30" s="5">
        <v>4.7430000000000003</v>
      </c>
      <c r="D30" s="5">
        <v>4.8559999999999999</v>
      </c>
      <c r="E30" s="44">
        <v>3.5190000000000001</v>
      </c>
      <c r="F30" s="1" t="str">
        <f>HYPERLINK("http://www.ncbi.nlm.nih.gov/pubmed/?term=Trim25","Trim25")</f>
        <v>Trim25</v>
      </c>
    </row>
    <row r="31" spans="1:6" x14ac:dyDescent="0.25">
      <c r="A31" t="s">
        <v>1897</v>
      </c>
      <c r="B31" t="s">
        <v>125</v>
      </c>
      <c r="C31" s="31">
        <v>5.548</v>
      </c>
      <c r="D31" s="31">
        <v>5.7690000000000001</v>
      </c>
      <c r="E31" s="44">
        <v>3.58</v>
      </c>
      <c r="F31" s="1" t="str">
        <f>HYPERLINK("http://www.ncbi.nlm.nih.gov/pubmed/?term=Irf9","Irf9")</f>
        <v>Irf9</v>
      </c>
    </row>
    <row r="32" spans="1:6" x14ac:dyDescent="0.25">
      <c r="A32" t="s">
        <v>1747</v>
      </c>
      <c r="B32" t="s">
        <v>1617</v>
      </c>
      <c r="C32" s="44">
        <v>4.47</v>
      </c>
      <c r="D32" s="31">
        <v>5.5170000000000003</v>
      </c>
      <c r="E32" s="44">
        <v>3.8849999999999998</v>
      </c>
      <c r="F32" s="1" t="str">
        <f>HYPERLINK("http://www.ncbi.nlm.nih.gov/pubmed/?term=Ifngr1","Ifngr1")</f>
        <v>Ifngr1</v>
      </c>
    </row>
    <row r="33" spans="1:6" x14ac:dyDescent="0.25">
      <c r="A33" t="s">
        <v>1326</v>
      </c>
      <c r="B33" t="s">
        <v>1699</v>
      </c>
      <c r="C33" s="44">
        <v>4.1829999999999998</v>
      </c>
      <c r="D33" s="5">
        <v>4.7720000000000002</v>
      </c>
      <c r="E33" s="44">
        <v>3.6880000000000002</v>
      </c>
      <c r="F33" s="1" t="str">
        <f>HYPERLINK("http://www.ncbi.nlm.nih.gov/pubmed/?term=Ifnar2","Ifnar2")</f>
        <v>Ifnar2</v>
      </c>
    </row>
    <row r="34" spans="1:6" x14ac:dyDescent="0.25">
      <c r="A34" t="s">
        <v>2063</v>
      </c>
      <c r="B34" t="s">
        <v>733</v>
      </c>
      <c r="C34" s="44">
        <v>4.2809999999999997</v>
      </c>
      <c r="D34" s="44">
        <v>4.3719999999999999</v>
      </c>
      <c r="E34" s="4">
        <v>2.37</v>
      </c>
      <c r="F34" s="1" t="str">
        <f>HYPERLINK("http://www.ncbi.nlm.nih.gov/pubmed/?term=Eif2ak2","Eif2ak2")</f>
        <v>Eif2ak2</v>
      </c>
    </row>
    <row r="35" spans="1:6" x14ac:dyDescent="0.25">
      <c r="A35" t="s">
        <v>2022</v>
      </c>
      <c r="B35" t="s">
        <v>123</v>
      </c>
      <c r="C35" s="44">
        <v>4.4390000000000001</v>
      </c>
      <c r="D35" s="35">
        <v>7.2649999999999997</v>
      </c>
      <c r="E35" s="44">
        <v>3.5259999999999998</v>
      </c>
      <c r="F35" s="1" t="str">
        <f>HYPERLINK("http://www.ncbi.nlm.nih.gov/pubmed/?term=Irf7","Irf7")</f>
        <v>Irf7</v>
      </c>
    </row>
    <row r="36" spans="1:6" x14ac:dyDescent="0.25">
      <c r="A36" t="s">
        <v>410</v>
      </c>
      <c r="B36" t="s">
        <v>1801</v>
      </c>
      <c r="C36" s="5">
        <v>4.6349999999999998</v>
      </c>
      <c r="D36" s="5">
        <v>4.7809999999999997</v>
      </c>
      <c r="E36" s="50">
        <v>3.198</v>
      </c>
      <c r="F36" s="1" t="str">
        <f>HYPERLINK("http://www.ncbi.nlm.nih.gov/pubmed/?term=Ifih1","Ifih1")</f>
        <v>Ifih1</v>
      </c>
    </row>
    <row r="37" spans="1:6" x14ac:dyDescent="0.25">
      <c r="A37" t="s">
        <v>719</v>
      </c>
      <c r="B37" t="s">
        <v>1794</v>
      </c>
      <c r="C37" s="5">
        <v>5.3120000000000003</v>
      </c>
      <c r="D37" s="31">
        <v>5.5419999999999998</v>
      </c>
      <c r="E37" s="5">
        <v>4.51</v>
      </c>
      <c r="F37" s="1" t="str">
        <f>HYPERLINK("http://www.ncbi.nlm.nih.gov/pubmed/?term=Adar","Adar")</f>
        <v>Adar</v>
      </c>
    </row>
    <row r="38" spans="1:6" x14ac:dyDescent="0.25">
      <c r="A38" t="s">
        <v>424</v>
      </c>
      <c r="B38" t="s">
        <v>796</v>
      </c>
      <c r="C38" s="4">
        <v>1.625</v>
      </c>
      <c r="D38" s="44">
        <v>3.5449999999999999</v>
      </c>
      <c r="E38" s="30">
        <v>1.3049999999999999</v>
      </c>
      <c r="F38" s="1" t="str">
        <f>HYPERLINK("http://www.ncbi.nlm.nih.gov/pubmed/?term=Oas1b","Oas1b")</f>
        <v>Oas1b</v>
      </c>
    </row>
    <row r="39" spans="1:6" x14ac:dyDescent="0.25">
      <c r="A39" t="s">
        <v>84</v>
      </c>
      <c r="B39" t="s">
        <v>1420</v>
      </c>
      <c r="C39" s="44">
        <v>4.101</v>
      </c>
      <c r="D39" s="5">
        <v>5.1790000000000003</v>
      </c>
      <c r="E39" s="44">
        <v>3.915</v>
      </c>
      <c r="F39" s="1" t="str">
        <f>HYPERLINK("http://www.ncbi.nlm.nih.gov/pubmed/?term=Furin","Furin")</f>
        <v>Furin</v>
      </c>
    </row>
    <row r="40" spans="1:6" x14ac:dyDescent="0.25">
      <c r="A40" t="s">
        <v>2118</v>
      </c>
      <c r="B40" t="s">
        <v>1961</v>
      </c>
      <c r="C40" s="26">
        <v>-2.4249999999999998</v>
      </c>
      <c r="D40" s="44">
        <v>4.0880000000000001</v>
      </c>
      <c r="E40" s="26">
        <v>-2.4369999999999998</v>
      </c>
      <c r="F40" s="1" t="str">
        <f>HYPERLINK("http://www.ncbi.nlm.nih.gov/pubmed/?term=Oas2","Oas2")</f>
        <v>Oas2</v>
      </c>
    </row>
    <row r="41" spans="1:6" x14ac:dyDescent="0.25">
      <c r="A41" t="s">
        <v>1986</v>
      </c>
      <c r="B41" t="s">
        <v>1713</v>
      </c>
      <c r="C41" s="44">
        <v>4.3099999999999996</v>
      </c>
      <c r="D41" s="31">
        <v>5.56</v>
      </c>
      <c r="E41" s="50">
        <v>3.3860000000000001</v>
      </c>
      <c r="F41" s="1" t="str">
        <f>HYPERLINK("http://www.ncbi.nlm.nih.gov/pubmed/?term=Stat2","Stat2")</f>
        <v>Stat2</v>
      </c>
    </row>
    <row r="42" spans="1:6" x14ac:dyDescent="0.25">
      <c r="A42" t="s">
        <v>575</v>
      </c>
      <c r="B42" t="s">
        <v>1686</v>
      </c>
      <c r="C42" s="5">
        <v>5.3390000000000004</v>
      </c>
      <c r="D42" s="5">
        <v>5.4109999999999996</v>
      </c>
      <c r="E42" s="4">
        <v>1.9830000000000001</v>
      </c>
      <c r="F42" s="1" t="str">
        <f>HYPERLINK("http://www.ncbi.nlm.nih.gov/pubmed/?term=Ddx58","Ddx58")</f>
        <v>Ddx58</v>
      </c>
    </row>
    <row r="43" spans="1:6" x14ac:dyDescent="0.25">
      <c r="A43" t="s">
        <v>1884</v>
      </c>
      <c r="B43" t="s">
        <v>2000</v>
      </c>
      <c r="C43" s="34">
        <v>8.7729999999999997</v>
      </c>
      <c r="D43" s="34">
        <v>9.0190000000000001</v>
      </c>
      <c r="E43" s="35">
        <v>7.4089999999999998</v>
      </c>
      <c r="F43" s="1" t="str">
        <f>HYPERLINK("http://www.ncbi.nlm.nih.gov/pubmed/?term=Jun","Jun")</f>
        <v>Jun</v>
      </c>
    </row>
    <row r="44" spans="1:6" x14ac:dyDescent="0.25">
      <c r="A44" t="s">
        <v>1735</v>
      </c>
      <c r="B44" t="s">
        <v>795</v>
      </c>
      <c r="C44" s="50">
        <v>3.1659999999999999</v>
      </c>
      <c r="D44" s="5">
        <v>4.7949999999999999</v>
      </c>
      <c r="E44" s="50">
        <v>2.8849999999999998</v>
      </c>
      <c r="F44" s="1" t="str">
        <f>HYPERLINK("http://www.ncbi.nlm.nih.gov/pubmed/?term=Oas1a","Oas1a")</f>
        <v>Oas1a</v>
      </c>
    </row>
    <row r="45" spans="1:6" x14ac:dyDescent="0.25">
      <c r="A45" t="s">
        <v>31</v>
      </c>
      <c r="B45" t="s">
        <v>400</v>
      </c>
      <c r="C45" s="44">
        <v>4.476</v>
      </c>
      <c r="D45" s="44">
        <v>3.5920000000000001</v>
      </c>
      <c r="E45" s="50">
        <v>3.4319999999999999</v>
      </c>
      <c r="F45" s="1" t="str">
        <f>HYPERLINK("http://www.ncbi.nlm.nih.gov/pubmed/?term=Mapk9","Mapk9")</f>
        <v>Mapk9</v>
      </c>
    </row>
    <row r="46" spans="1:6" x14ac:dyDescent="0.25">
      <c r="A46" t="s">
        <v>314</v>
      </c>
      <c r="B46" t="s">
        <v>116</v>
      </c>
      <c r="C46" s="50">
        <v>3.4460000000000002</v>
      </c>
      <c r="D46" s="50">
        <v>2.8279999999999998</v>
      </c>
      <c r="E46" s="26">
        <v>-0.61829999999999996</v>
      </c>
      <c r="F46" s="1" t="str">
        <f>HYPERLINK("http://www.ncbi.nlm.nih.gov/pubmed/?term=Rsad2","Rsad2")</f>
        <v>Rsad2</v>
      </c>
    </row>
    <row r="47" spans="1:6" x14ac:dyDescent="0.25">
      <c r="A47" t="s">
        <v>834</v>
      </c>
      <c r="B47" t="s">
        <v>1552</v>
      </c>
      <c r="C47" s="5">
        <v>4.516</v>
      </c>
      <c r="D47" s="44">
        <v>3.7549999999999999</v>
      </c>
      <c r="E47" s="50">
        <v>3.4649999999999999</v>
      </c>
      <c r="F47" s="1" t="str">
        <f>HYPERLINK("http://www.ncbi.nlm.nih.gov/pubmed/?term=Mapk8","Mapk8")</f>
        <v>Mapk8</v>
      </c>
    </row>
    <row r="48" spans="1:6" x14ac:dyDescent="0.25">
      <c r="A48" t="s">
        <v>233</v>
      </c>
      <c r="B48" t="s">
        <v>1714</v>
      </c>
      <c r="C48" s="35">
        <v>6.734</v>
      </c>
      <c r="D48" s="35">
        <v>6.7110000000000003</v>
      </c>
      <c r="E48" s="5">
        <v>5.4809999999999999</v>
      </c>
      <c r="F48" s="1" t="str">
        <f>HYPERLINK("http://www.ncbi.nlm.nih.gov/pubmed/?term=Stat1","Stat1")</f>
        <v>Stat1</v>
      </c>
    </row>
    <row r="49" spans="1:6" x14ac:dyDescent="0.25">
      <c r="A49" t="s">
        <v>242</v>
      </c>
      <c r="B49" t="s">
        <v>997</v>
      </c>
      <c r="C49" s="31">
        <v>6.056</v>
      </c>
      <c r="D49" s="5">
        <v>5.3730000000000002</v>
      </c>
      <c r="E49" s="44">
        <v>4.3070000000000004</v>
      </c>
      <c r="F49" s="1" t="str">
        <f>HYPERLINK("http://www.ncbi.nlm.nih.gov/pubmed/?term=Tnfrsf1a","Tnfrsf1a")</f>
        <v>Tnfrsf1a</v>
      </c>
    </row>
    <row r="50" spans="1:6" x14ac:dyDescent="0.25">
      <c r="A50" t="s">
        <v>1205</v>
      </c>
      <c r="B50" t="s">
        <v>1329</v>
      </c>
      <c r="C50" s="31">
        <v>5.6820000000000004</v>
      </c>
      <c r="D50" s="5">
        <v>5.0220000000000002</v>
      </c>
      <c r="E50" s="5">
        <v>4.7060000000000004</v>
      </c>
      <c r="F50" s="1" t="str">
        <f>HYPERLINK("http://www.ncbi.nlm.nih.gov/pubmed/?term=Pik3r2","Pik3r2")</f>
        <v>Pik3r2</v>
      </c>
    </row>
    <row r="51" spans="1:6" x14ac:dyDescent="0.25">
      <c r="A51" t="s">
        <v>1620</v>
      </c>
      <c r="B51" t="s">
        <v>1646</v>
      </c>
      <c r="C51" s="44">
        <v>4.484</v>
      </c>
      <c r="D51" s="44">
        <v>3.6629999999999998</v>
      </c>
      <c r="E51" s="50">
        <v>2.92</v>
      </c>
      <c r="F51" s="1" t="str">
        <f>HYPERLINK("http://www.ncbi.nlm.nih.gov/pubmed/?term=Map2k4","Map2k4")</f>
        <v>Map2k4</v>
      </c>
    </row>
    <row r="52" spans="1:6" x14ac:dyDescent="0.25">
      <c r="A52" t="s">
        <v>731</v>
      </c>
      <c r="B52" t="s">
        <v>1330</v>
      </c>
      <c r="C52" s="5">
        <v>4.9180000000000001</v>
      </c>
      <c r="D52" s="5">
        <v>4.8079999999999998</v>
      </c>
      <c r="E52" s="44">
        <v>3.7410000000000001</v>
      </c>
      <c r="F52" s="1" t="str">
        <f>HYPERLINK("http://www.ncbi.nlm.nih.gov/pubmed/?term=Pik3r1","Pik3r1")</f>
        <v>Pik3r1</v>
      </c>
    </row>
    <row r="53" spans="1:6" x14ac:dyDescent="0.25">
      <c r="A53" t="s">
        <v>2078</v>
      </c>
      <c r="B53" t="s">
        <v>1565</v>
      </c>
      <c r="C53" s="35">
        <v>7.383</v>
      </c>
      <c r="D53" s="35">
        <v>6.9610000000000003</v>
      </c>
      <c r="E53" s="5">
        <v>5.0860000000000003</v>
      </c>
      <c r="F53" s="1" t="str">
        <f>HYPERLINK("http://www.ncbi.nlm.nih.gov/pubmed/?term=Socs3","Socs3")</f>
        <v>Socs3</v>
      </c>
    </row>
    <row r="54" spans="1:6" x14ac:dyDescent="0.25">
      <c r="A54" t="s">
        <v>1902</v>
      </c>
      <c r="B54" t="s">
        <v>292</v>
      </c>
      <c r="C54" s="5">
        <v>5.4859999999999998</v>
      </c>
      <c r="D54" s="5">
        <v>5.1769999999999996</v>
      </c>
      <c r="E54" s="44">
        <v>4.3440000000000003</v>
      </c>
      <c r="F54" s="1" t="str">
        <f>HYPERLINK("http://www.ncbi.nlm.nih.gov/pubmed/?term=Mapk14","Mapk14")</f>
        <v>Mapk14</v>
      </c>
    </row>
    <row r="55" spans="1:6" x14ac:dyDescent="0.25">
      <c r="A55" t="s">
        <v>2052</v>
      </c>
      <c r="B55" t="s">
        <v>1665</v>
      </c>
      <c r="C55" s="5">
        <v>5.3970000000000002</v>
      </c>
      <c r="D55" s="5">
        <v>4.6660000000000004</v>
      </c>
      <c r="E55" s="31">
        <v>5.806</v>
      </c>
      <c r="F55" s="1" t="str">
        <f>HYPERLINK("http://www.ncbi.nlm.nih.gov/pubmed/?term=Kpna2","Kpna2")</f>
        <v>Kpna2</v>
      </c>
    </row>
    <row r="56" spans="1:6" x14ac:dyDescent="0.25">
      <c r="A56" t="s">
        <v>1852</v>
      </c>
      <c r="B56" t="s">
        <v>1070</v>
      </c>
      <c r="C56" s="6">
        <v>7.577</v>
      </c>
      <c r="D56" s="6">
        <v>7.5250000000000004</v>
      </c>
      <c r="E56" s="49">
        <v>9.6739999999999995</v>
      </c>
      <c r="F56" s="1" t="str">
        <f>HYPERLINK("http://www.ncbi.nlm.nih.gov/pubmed/?term=Nfkbia","Nfkbia")</f>
        <v>Nfkbia</v>
      </c>
    </row>
    <row r="57" spans="1:6" x14ac:dyDescent="0.25">
      <c r="A57" t="s">
        <v>408</v>
      </c>
      <c r="B57" t="s">
        <v>540</v>
      </c>
      <c r="C57" s="44">
        <v>3.67</v>
      </c>
      <c r="D57" s="50">
        <v>3.2509999999999999</v>
      </c>
      <c r="E57" s="5">
        <v>5.1109999999999998</v>
      </c>
      <c r="F57" s="1" t="str">
        <f>HYPERLINK("http://www.ncbi.nlm.nih.gov/pubmed/?term=Tnfrsf10b","Tnfrsf10b")</f>
        <v>Tnfrsf10b</v>
      </c>
    </row>
    <row r="58" spans="1:6" x14ac:dyDescent="0.25">
      <c r="A58" t="s">
        <v>1066</v>
      </c>
      <c r="B58" t="s">
        <v>981</v>
      </c>
      <c r="C58" s="31">
        <v>5.7240000000000002</v>
      </c>
      <c r="D58" s="5">
        <v>4.8490000000000002</v>
      </c>
      <c r="E58" s="35">
        <v>6.8129999999999997</v>
      </c>
      <c r="F58" s="1" t="str">
        <f>HYPERLINK("http://www.ncbi.nlm.nih.gov/pubmed/?term=Ciita","Ciita")</f>
        <v>Ciita</v>
      </c>
    </row>
    <row r="59" spans="1:6" x14ac:dyDescent="0.25">
      <c r="A59" t="s">
        <v>1324</v>
      </c>
      <c r="B59" t="s">
        <v>1429</v>
      </c>
      <c r="C59" s="5">
        <v>5.2809999999999997</v>
      </c>
      <c r="D59" s="5">
        <v>5.2389999999999999</v>
      </c>
      <c r="E59" s="6">
        <v>8.2189999999999994</v>
      </c>
      <c r="F59" s="1" t="str">
        <f>HYPERLINK("http://www.ncbi.nlm.nih.gov/pubmed/?term=H2-Oa","H2-Oa")</f>
        <v>H2-Oa</v>
      </c>
    </row>
    <row r="60" spans="1:6" x14ac:dyDescent="0.25">
      <c r="A60" t="s">
        <v>1675</v>
      </c>
      <c r="B60" t="s">
        <v>1069</v>
      </c>
      <c r="C60" s="5">
        <v>4.6070000000000002</v>
      </c>
      <c r="D60" s="44">
        <v>3.927</v>
      </c>
      <c r="E60" s="5">
        <v>5.1689999999999996</v>
      </c>
      <c r="F60" s="1" t="str">
        <f>HYPERLINK("http://www.ncbi.nlm.nih.gov/pubmed/?term=Nfkbib","Nfkbib")</f>
        <v>Nfkbib</v>
      </c>
    </row>
    <row r="61" spans="1:6" x14ac:dyDescent="0.25">
      <c r="A61" t="s">
        <v>528</v>
      </c>
      <c r="B61" t="s">
        <v>1739</v>
      </c>
      <c r="C61" s="49">
        <v>10.41</v>
      </c>
      <c r="D61" s="49">
        <v>10.1</v>
      </c>
      <c r="E61" s="43">
        <v>12.37</v>
      </c>
      <c r="F61" s="1" t="str">
        <f>HYPERLINK("http://www.ncbi.nlm.nih.gov/pubmed/?term=H2-Aa","H2-Aa")</f>
        <v>H2-Aa</v>
      </c>
    </row>
    <row r="62" spans="1:6" x14ac:dyDescent="0.25">
      <c r="A62" t="s">
        <v>546</v>
      </c>
      <c r="B62" t="s">
        <v>647</v>
      </c>
      <c r="C62" s="35">
        <v>7.0970000000000004</v>
      </c>
      <c r="D62" s="35">
        <v>6.6790000000000003</v>
      </c>
      <c r="E62" s="34">
        <v>8.57</v>
      </c>
      <c r="F62" s="1" t="str">
        <f>HYPERLINK("http://www.ncbi.nlm.nih.gov/pubmed/?term=Icam1","Icam1")</f>
        <v>Icam1</v>
      </c>
    </row>
    <row r="63" spans="1:6" x14ac:dyDescent="0.25">
      <c r="A63" t="s">
        <v>1880</v>
      </c>
      <c r="B63" t="s">
        <v>1077</v>
      </c>
      <c r="C63" s="44">
        <v>3.6549999999999998</v>
      </c>
      <c r="D63" s="50">
        <v>3.3140000000000001</v>
      </c>
      <c r="E63" s="31">
        <v>6.2270000000000003</v>
      </c>
      <c r="F63" s="1" t="str">
        <f>HYPERLINK("http://www.ncbi.nlm.nih.gov/pubmed/?term=Prkca","Prkca")</f>
        <v>Prkca</v>
      </c>
    </row>
    <row r="64" spans="1:6" x14ac:dyDescent="0.25">
      <c r="A64" t="s">
        <v>1974</v>
      </c>
      <c r="B64" t="s">
        <v>1270</v>
      </c>
      <c r="C64" s="43">
        <v>10.67</v>
      </c>
      <c r="D64" s="49">
        <v>10.31</v>
      </c>
      <c r="E64" s="43">
        <v>12.36</v>
      </c>
      <c r="F64" s="1" t="str">
        <f>HYPERLINK("http://www.ncbi.nlm.nih.gov/pubmed/?term=H2-Ab1","H2-Ab1")</f>
        <v>H2-Ab1</v>
      </c>
    </row>
    <row r="65" spans="1:6" x14ac:dyDescent="0.25">
      <c r="A65" t="s">
        <v>1468</v>
      </c>
      <c r="B65" t="s">
        <v>1716</v>
      </c>
      <c r="C65" s="5">
        <v>5.3959999999999999</v>
      </c>
      <c r="D65" s="5">
        <v>5.0060000000000002</v>
      </c>
      <c r="E65" s="35">
        <v>6.9</v>
      </c>
      <c r="F65" s="1" t="str">
        <f>HYPERLINK("http://www.ncbi.nlm.nih.gov/pubmed/?term=H2-DMb1","H2-DMb1")</f>
        <v>H2-DMb1</v>
      </c>
    </row>
    <row r="66" spans="1:6" x14ac:dyDescent="0.25">
      <c r="A66" t="s">
        <v>159</v>
      </c>
      <c r="B66" t="s">
        <v>1644</v>
      </c>
      <c r="C66" s="35">
        <v>6.5579999999999998</v>
      </c>
      <c r="D66" s="5">
        <v>4.7640000000000002</v>
      </c>
      <c r="E66" s="5">
        <v>5.4039999999999999</v>
      </c>
      <c r="F66" s="1" t="str">
        <f>HYPERLINK("http://www.ncbi.nlm.nih.gov/pubmed/?term=Map2k1","Map2k1")</f>
        <v>Map2k1</v>
      </c>
    </row>
    <row r="67" spans="1:6" x14ac:dyDescent="0.25">
      <c r="A67" t="s">
        <v>162</v>
      </c>
      <c r="B67" t="s">
        <v>1666</v>
      </c>
      <c r="C67" s="5">
        <v>5.032</v>
      </c>
      <c r="D67" s="44">
        <v>3.6059999999999999</v>
      </c>
      <c r="E67" s="44">
        <v>3.8130000000000002</v>
      </c>
      <c r="F67" s="1" t="str">
        <f>HYPERLINK("http://www.ncbi.nlm.nih.gov/pubmed/?term=Kpna1","Kpna1")</f>
        <v>Kpna1</v>
      </c>
    </row>
    <row r="68" spans="1:6" x14ac:dyDescent="0.25">
      <c r="A68" t="s">
        <v>451</v>
      </c>
      <c r="B68" t="s">
        <v>982</v>
      </c>
      <c r="C68" s="34">
        <v>9.1549999999999994</v>
      </c>
      <c r="D68" s="6">
        <v>7.7859999999999996</v>
      </c>
      <c r="E68" s="34">
        <v>9.0220000000000002</v>
      </c>
      <c r="F68" s="1" t="str">
        <f>HYPERLINK("http://www.ncbi.nlm.nih.gov/pubmed/?term=Cxcl10","Cxcl10")</f>
        <v>Cxcl10</v>
      </c>
    </row>
    <row r="69" spans="1:6" x14ac:dyDescent="0.25">
      <c r="A69" t="s">
        <v>865</v>
      </c>
      <c r="B69" t="s">
        <v>1044</v>
      </c>
      <c r="C69" s="35">
        <v>6.5350000000000001</v>
      </c>
      <c r="D69" s="5">
        <v>4.9409999999999998</v>
      </c>
      <c r="E69" s="31">
        <v>6.3239999999999998</v>
      </c>
      <c r="F69" s="1" t="str">
        <f>HYPERLINK("http://www.ncbi.nlm.nih.gov/pubmed/?term=H2-DMa","H2-DMa")</f>
        <v>H2-DMa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1603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12">
        <v>2.2389999999999999</v>
      </c>
      <c r="D5" s="29">
        <v>7.0960000000000001</v>
      </c>
      <c r="E5" s="22">
        <v>5.49</v>
      </c>
      <c r="F5" s="1" t="str">
        <f>HYPERLINK("http://www.ncbi.nlm.nih.gov/pubmed/?term=Mapk13","Mapk13")</f>
        <v>Mapk13</v>
      </c>
    </row>
    <row r="6" spans="1:6" x14ac:dyDescent="0.25">
      <c r="A6" t="s">
        <v>2016</v>
      </c>
      <c r="B6" t="s">
        <v>1464</v>
      </c>
      <c r="C6" s="26">
        <v>-0.25159999999999999</v>
      </c>
      <c r="D6" s="22">
        <v>4.952</v>
      </c>
      <c r="E6" s="20">
        <v>0.69540000000000002</v>
      </c>
      <c r="F6" s="1" t="str">
        <f>HYPERLINK("http://www.ncbi.nlm.nih.gov/pubmed/?term=Pik3cg","Pik3cg")</f>
        <v>Pik3cg</v>
      </c>
    </row>
    <row r="7" spans="1:6" x14ac:dyDescent="0.25">
      <c r="A7" t="s">
        <v>1335</v>
      </c>
      <c r="B7" t="s">
        <v>1328</v>
      </c>
      <c r="C7" s="20">
        <v>0.53520000000000001</v>
      </c>
      <c r="D7" s="25">
        <v>5.8090000000000002</v>
      </c>
      <c r="E7" s="32">
        <v>2.5489999999999999</v>
      </c>
      <c r="F7" s="1" t="str">
        <f>HYPERLINK("http://www.ncbi.nlm.nih.gov/pubmed/?term=Pik3r5","Pik3r5")</f>
        <v>Pik3r5</v>
      </c>
    </row>
    <row r="8" spans="1:6" x14ac:dyDescent="0.25">
      <c r="A8" t="s">
        <v>914</v>
      </c>
      <c r="B8" t="s">
        <v>1551</v>
      </c>
      <c r="C8" s="12">
        <v>1.845</v>
      </c>
      <c r="D8" s="48">
        <v>4.335</v>
      </c>
      <c r="E8" s="32">
        <v>3.012</v>
      </c>
      <c r="F8" s="1" t="str">
        <f>HYPERLINK("http://www.ncbi.nlm.nih.gov/pubmed/?term=Cldn1","Cldn1")</f>
        <v>Cldn1</v>
      </c>
    </row>
    <row r="9" spans="1:6" x14ac:dyDescent="0.25">
      <c r="A9" t="s">
        <v>2109</v>
      </c>
      <c r="B9" t="s">
        <v>422</v>
      </c>
      <c r="C9" s="12">
        <v>1.55</v>
      </c>
      <c r="D9" s="48">
        <v>3.9460000000000002</v>
      </c>
      <c r="E9" s="32">
        <v>3.4809999999999999</v>
      </c>
      <c r="F9" s="1" t="str">
        <f>HYPERLINK("http://www.ncbi.nlm.nih.gov/pubmed/?term=Mylpf","Mylpf")</f>
        <v>Mylpf</v>
      </c>
    </row>
    <row r="10" spans="1:6" x14ac:dyDescent="0.25">
      <c r="A10" t="s">
        <v>1828</v>
      </c>
      <c r="B10" t="s">
        <v>1532</v>
      </c>
      <c r="C10" s="12">
        <v>1.986</v>
      </c>
      <c r="D10" s="25">
        <v>5.7009999999999996</v>
      </c>
      <c r="E10" s="32">
        <v>2.6230000000000002</v>
      </c>
      <c r="F10" s="1" t="str">
        <f>HYPERLINK("http://www.ncbi.nlm.nih.gov/pubmed/?term=Vav1","Vav1")</f>
        <v>Vav1</v>
      </c>
    </row>
    <row r="11" spans="1:6" x14ac:dyDescent="0.25">
      <c r="A11" t="s">
        <v>276</v>
      </c>
      <c r="B11" t="s">
        <v>1181</v>
      </c>
      <c r="C11" s="32">
        <v>2.7959999999999998</v>
      </c>
      <c r="D11" s="22">
        <v>4.8380000000000001</v>
      </c>
      <c r="E11" s="32">
        <v>3.4089999999999998</v>
      </c>
      <c r="F11" s="1" t="str">
        <f>HYPERLINK("http://www.ncbi.nlm.nih.gov/pubmed/?term=Plcg2","Plcg2")</f>
        <v>Plcg2</v>
      </c>
    </row>
    <row r="12" spans="1:6" x14ac:dyDescent="0.25">
      <c r="A12" t="s">
        <v>934</v>
      </c>
      <c r="B12" t="s">
        <v>214</v>
      </c>
      <c r="C12" s="22">
        <v>5.1150000000000002</v>
      </c>
      <c r="D12" s="25">
        <v>6.1420000000000003</v>
      </c>
      <c r="E12" s="25">
        <v>6.0039999999999996</v>
      </c>
      <c r="F12" s="1" t="str">
        <f>HYPERLINK("http://www.ncbi.nlm.nih.gov/pubmed/?term=Myl12b","Myl12b")</f>
        <v>Myl12b</v>
      </c>
    </row>
    <row r="13" spans="1:6" x14ac:dyDescent="0.25">
      <c r="A13" t="s">
        <v>1893</v>
      </c>
      <c r="B13" t="s">
        <v>32</v>
      </c>
      <c r="C13" s="48">
        <v>3.6619999999999999</v>
      </c>
      <c r="D13" s="22">
        <v>4.694</v>
      </c>
      <c r="E13" s="48">
        <v>4.4710000000000001</v>
      </c>
      <c r="F13" s="1" t="str">
        <f>HYPERLINK("http://www.ncbi.nlm.nih.gov/pubmed/?term=Mllt4","Mllt4")</f>
        <v>Mllt4</v>
      </c>
    </row>
    <row r="14" spans="1:6" x14ac:dyDescent="0.25">
      <c r="A14" t="s">
        <v>726</v>
      </c>
      <c r="B14" t="s">
        <v>1486</v>
      </c>
      <c r="C14" s="12">
        <v>2.4129999999999998</v>
      </c>
      <c r="D14" s="25">
        <v>5.7949999999999999</v>
      </c>
      <c r="E14" s="46">
        <v>8.7479999999999993</v>
      </c>
      <c r="F14" s="1" t="str">
        <f>HYPERLINK("http://www.ncbi.nlm.nih.gov/pubmed/?term=Cyba","Cyba")</f>
        <v>Cyba</v>
      </c>
    </row>
    <row r="15" spans="1:6" x14ac:dyDescent="0.25">
      <c r="A15" t="s">
        <v>1102</v>
      </c>
      <c r="B15" t="s">
        <v>1253</v>
      </c>
      <c r="C15" s="26">
        <v>-1.546</v>
      </c>
      <c r="D15" s="20">
        <v>0.9718</v>
      </c>
      <c r="E15" s="25">
        <v>5.7430000000000003</v>
      </c>
      <c r="F15" s="1" t="str">
        <f>HYPERLINK("http://www.ncbi.nlm.nih.gov/pubmed/?term=Cldn13","Cldn13")</f>
        <v>Cldn13</v>
      </c>
    </row>
    <row r="16" spans="1:6" x14ac:dyDescent="0.25">
      <c r="A16" t="s">
        <v>421</v>
      </c>
      <c r="B16" t="s">
        <v>1535</v>
      </c>
      <c r="C16" s="12">
        <v>2.2810000000000001</v>
      </c>
      <c r="D16" s="32">
        <v>2.8679999999999999</v>
      </c>
      <c r="E16" s="48">
        <v>4.0170000000000003</v>
      </c>
      <c r="F16" s="1" t="str">
        <f>HYPERLINK("http://www.ncbi.nlm.nih.gov/pubmed/?term=Vav2","Vav2")</f>
        <v>Vav2</v>
      </c>
    </row>
    <row r="17" spans="1:6" x14ac:dyDescent="0.25">
      <c r="A17" t="s">
        <v>1682</v>
      </c>
      <c r="B17" t="s">
        <v>1484</v>
      </c>
      <c r="C17" s="26">
        <v>-2.44</v>
      </c>
      <c r="D17" s="12">
        <v>1.6619999999999999</v>
      </c>
      <c r="E17" s="22">
        <v>4.766</v>
      </c>
      <c r="F17" s="1" t="str">
        <f>HYPERLINK("http://www.ncbi.nlm.nih.gov/pubmed/?term=Cybb","Cybb")</f>
        <v>Cybb</v>
      </c>
    </row>
    <row r="18" spans="1:6" x14ac:dyDescent="0.25">
      <c r="A18" t="s">
        <v>925</v>
      </c>
      <c r="B18" t="s">
        <v>874</v>
      </c>
      <c r="C18" s="26">
        <v>-0.30590000000000001</v>
      </c>
      <c r="D18" s="32">
        <v>3.0009999999999999</v>
      </c>
      <c r="E18" s="24">
        <v>8.1969999999999992</v>
      </c>
      <c r="F18" s="1" t="str">
        <f>HYPERLINK("http://www.ncbi.nlm.nih.gov/pubmed/?term=Ncf1","Ncf1")</f>
        <v>Ncf1</v>
      </c>
    </row>
    <row r="19" spans="1:6" x14ac:dyDescent="0.25">
      <c r="A19" t="s">
        <v>1754</v>
      </c>
      <c r="B19" t="s">
        <v>1555</v>
      </c>
      <c r="C19" s="26">
        <v>-0.63449999999999995</v>
      </c>
      <c r="D19" s="22">
        <v>5.0510000000000002</v>
      </c>
      <c r="E19" s="25">
        <v>6.3819999999999997</v>
      </c>
      <c r="F19" s="1" t="str">
        <f>HYPERLINK("http://www.ncbi.nlm.nih.gov/pubmed/?term=Cldn7","Cldn7")</f>
        <v>Cldn7</v>
      </c>
    </row>
    <row r="20" spans="1:6" x14ac:dyDescent="0.25">
      <c r="A20" t="s">
        <v>916</v>
      </c>
      <c r="B20" t="s">
        <v>1436</v>
      </c>
      <c r="C20" s="26">
        <v>-2.0179999999999998</v>
      </c>
      <c r="D20" s="12">
        <v>2.0539999999999998</v>
      </c>
      <c r="E20" s="32">
        <v>3.391</v>
      </c>
      <c r="F20" s="1" t="str">
        <f>HYPERLINK("http://www.ncbi.nlm.nih.gov/pubmed/?term=Myl7","Myl7")</f>
        <v>Myl7</v>
      </c>
    </row>
    <row r="21" spans="1:6" x14ac:dyDescent="0.25">
      <c r="A21" t="s">
        <v>463</v>
      </c>
      <c r="B21" t="s">
        <v>256</v>
      </c>
      <c r="C21" s="12">
        <v>1.8109999999999999</v>
      </c>
      <c r="D21" s="32">
        <v>2.8540000000000001</v>
      </c>
      <c r="E21" s="48">
        <v>4.3890000000000002</v>
      </c>
      <c r="F21" s="1" t="str">
        <f>HYPERLINK("http://www.ncbi.nlm.nih.gov/pubmed/?term=Ocln","Ocln")</f>
        <v>Ocln</v>
      </c>
    </row>
    <row r="22" spans="1:6" x14ac:dyDescent="0.25">
      <c r="A22" t="s">
        <v>379</v>
      </c>
      <c r="B22" t="s">
        <v>885</v>
      </c>
      <c r="C22" s="26">
        <v>-0.49680000000000002</v>
      </c>
      <c r="D22" s="22">
        <v>4.8220000000000001</v>
      </c>
      <c r="E22" s="22">
        <v>4.93</v>
      </c>
      <c r="F22" s="1" t="str">
        <f>HYPERLINK("http://www.ncbi.nlm.nih.gov/pubmed/?term=Ncf2","Ncf2")</f>
        <v>Ncf2</v>
      </c>
    </row>
    <row r="23" spans="1:6" x14ac:dyDescent="0.25">
      <c r="A23" t="s">
        <v>2195</v>
      </c>
      <c r="B23" t="s">
        <v>1912</v>
      </c>
      <c r="C23" s="43">
        <v>9.7509999999999994</v>
      </c>
      <c r="D23" s="43">
        <v>10.18</v>
      </c>
      <c r="E23" s="43">
        <v>11.23</v>
      </c>
      <c r="F23" s="1" t="str">
        <f>HYPERLINK("http://www.ncbi.nlm.nih.gov/pubmed/?term=Actb","Actb")</f>
        <v>Actb</v>
      </c>
    </row>
    <row r="24" spans="1:6" x14ac:dyDescent="0.25">
      <c r="A24" t="s">
        <v>1200</v>
      </c>
      <c r="B24" t="s">
        <v>295</v>
      </c>
      <c r="C24" s="12">
        <v>1.873</v>
      </c>
      <c r="D24" s="12">
        <v>1.946</v>
      </c>
      <c r="E24" s="32">
        <v>3.484</v>
      </c>
      <c r="F24" s="1" t="str">
        <f>HYPERLINK("http://www.ncbi.nlm.nih.gov/pubmed/?term=Itgal","Itgal")</f>
        <v>Itgal</v>
      </c>
    </row>
    <row r="25" spans="1:6" x14ac:dyDescent="0.25">
      <c r="A25" t="s">
        <v>98</v>
      </c>
      <c r="B25" t="s">
        <v>1600</v>
      </c>
      <c r="C25" s="48">
        <v>3.8929999999999998</v>
      </c>
      <c r="D25" s="25">
        <v>6.1340000000000003</v>
      </c>
      <c r="E25" s="24">
        <v>8.032</v>
      </c>
      <c r="F25" s="1" t="str">
        <f>HYPERLINK("http://www.ncbi.nlm.nih.gov/pubmed/?term=Msn","Msn")</f>
        <v>Msn</v>
      </c>
    </row>
    <row r="26" spans="1:6" x14ac:dyDescent="0.25">
      <c r="A26" t="s">
        <v>333</v>
      </c>
      <c r="B26" t="s">
        <v>1460</v>
      </c>
      <c r="C26" s="26">
        <v>0.44829999999999998</v>
      </c>
      <c r="D26" s="12">
        <v>2.1360000000000001</v>
      </c>
      <c r="E26" s="48">
        <v>3.8809999999999998</v>
      </c>
      <c r="F26" s="1" t="str">
        <f>HYPERLINK("http://www.ncbi.nlm.nih.gov/pubmed/?term=Pik3cb","Pik3cb")</f>
        <v>Pik3cb</v>
      </c>
    </row>
    <row r="27" spans="1:6" x14ac:dyDescent="0.25">
      <c r="A27" t="s">
        <v>674</v>
      </c>
      <c r="B27" t="s">
        <v>1949</v>
      </c>
      <c r="C27" s="32">
        <v>2.6110000000000002</v>
      </c>
      <c r="D27" s="48">
        <v>4.2789999999999999</v>
      </c>
      <c r="E27" s="29">
        <v>6.8239999999999998</v>
      </c>
      <c r="F27" s="1" t="str">
        <f>HYPERLINK("http://www.ncbi.nlm.nih.gov/pubmed/?term=Rac2","Rac2")</f>
        <v>Rac2</v>
      </c>
    </row>
    <row r="28" spans="1:6" x14ac:dyDescent="0.25">
      <c r="A28" t="s">
        <v>1578</v>
      </c>
      <c r="B28" t="s">
        <v>465</v>
      </c>
      <c r="C28" s="22">
        <v>4.6289999999999996</v>
      </c>
      <c r="D28" s="25">
        <v>6.3</v>
      </c>
      <c r="E28" s="29">
        <v>6.7530000000000001</v>
      </c>
      <c r="F28" s="1" t="str">
        <f>HYPERLINK("http://www.ncbi.nlm.nih.gov/pubmed/?term=F11r","F11r")</f>
        <v>F11r</v>
      </c>
    </row>
    <row r="29" spans="1:6" x14ac:dyDescent="0.25">
      <c r="A29" t="s">
        <v>112</v>
      </c>
      <c r="B29" t="s">
        <v>1554</v>
      </c>
      <c r="C29" s="20">
        <v>0.80320000000000003</v>
      </c>
      <c r="D29" s="22">
        <v>5.2430000000000003</v>
      </c>
      <c r="E29" s="29">
        <v>7.34</v>
      </c>
      <c r="F29" s="1" t="str">
        <f>HYPERLINK("http://www.ncbi.nlm.nih.gov/pubmed/?term=Cldn4","Cldn4")</f>
        <v>Cldn4</v>
      </c>
    </row>
    <row r="30" spans="1:6" x14ac:dyDescent="0.25">
      <c r="A30" t="s">
        <v>1336</v>
      </c>
      <c r="B30" t="s">
        <v>895</v>
      </c>
      <c r="C30" s="20">
        <v>0.75729999999999997</v>
      </c>
      <c r="D30" s="48">
        <v>4.1239999999999997</v>
      </c>
      <c r="E30" s="29">
        <v>7.1379999999999999</v>
      </c>
      <c r="F30" s="1" t="str">
        <f>HYPERLINK("http://www.ncbi.nlm.nih.gov/pubmed/?term=Ptk2b","Ptk2b")</f>
        <v>Ptk2b</v>
      </c>
    </row>
    <row r="31" spans="1:6" x14ac:dyDescent="0.25">
      <c r="A31" t="s">
        <v>166</v>
      </c>
      <c r="B31" t="s">
        <v>1553</v>
      </c>
      <c r="C31" s="26">
        <v>-2.06</v>
      </c>
      <c r="D31" s="22">
        <v>4.6829999999999998</v>
      </c>
      <c r="E31" s="25">
        <v>5.657</v>
      </c>
      <c r="F31" s="1" t="str">
        <f>HYPERLINK("http://www.ncbi.nlm.nih.gov/pubmed/?term=Cldn3","Cldn3")</f>
        <v>Cldn3</v>
      </c>
    </row>
    <row r="32" spans="1:6" x14ac:dyDescent="0.25">
      <c r="A32" t="s">
        <v>80</v>
      </c>
      <c r="B32" t="s">
        <v>887</v>
      </c>
      <c r="C32" s="26">
        <v>-1.54</v>
      </c>
      <c r="D32" s="32">
        <v>2.968</v>
      </c>
      <c r="E32" s="25">
        <v>6.234</v>
      </c>
      <c r="F32" s="1" t="str">
        <f>HYPERLINK("http://www.ncbi.nlm.nih.gov/pubmed/?term=Ncf4","Ncf4")</f>
        <v>Ncf4</v>
      </c>
    </row>
    <row r="33" spans="1:6" x14ac:dyDescent="0.25">
      <c r="A33" t="s">
        <v>1471</v>
      </c>
      <c r="B33" t="s">
        <v>801</v>
      </c>
      <c r="C33" s="22">
        <v>4.6050000000000004</v>
      </c>
      <c r="D33" s="25">
        <v>5.6079999999999997</v>
      </c>
      <c r="E33" s="48">
        <v>4.2160000000000002</v>
      </c>
      <c r="F33" s="1" t="str">
        <f>HYPERLINK("http://www.ncbi.nlm.nih.gov/pubmed/?term=Vcl","Vcl")</f>
        <v>Vcl</v>
      </c>
    </row>
    <row r="34" spans="1:6" x14ac:dyDescent="0.25">
      <c r="A34" t="s">
        <v>534</v>
      </c>
      <c r="B34" t="s">
        <v>1534</v>
      </c>
      <c r="C34" s="48">
        <v>3.738</v>
      </c>
      <c r="D34" s="22">
        <v>4.6950000000000003</v>
      </c>
      <c r="E34" s="32">
        <v>3.3279999999999998</v>
      </c>
      <c r="F34" s="1" t="str">
        <f>HYPERLINK("http://www.ncbi.nlm.nih.gov/pubmed/?term=Vav3","Vav3")</f>
        <v>Vav3</v>
      </c>
    </row>
    <row r="35" spans="1:6" x14ac:dyDescent="0.25">
      <c r="A35" t="s">
        <v>1899</v>
      </c>
      <c r="B35" t="s">
        <v>1438</v>
      </c>
      <c r="C35" s="48">
        <v>3.7309999999999999</v>
      </c>
      <c r="D35" s="25">
        <v>5.7539999999999996</v>
      </c>
      <c r="E35" s="20">
        <v>0.61119999999999997</v>
      </c>
      <c r="F35" s="1" t="str">
        <f>HYPERLINK("http://www.ncbi.nlm.nih.gov/pubmed/?term=Myl9","Myl9")</f>
        <v>Myl9</v>
      </c>
    </row>
    <row r="36" spans="1:6" x14ac:dyDescent="0.25">
      <c r="A36" t="s">
        <v>78</v>
      </c>
      <c r="B36" t="s">
        <v>1182</v>
      </c>
      <c r="C36" s="22">
        <v>4.6639999999999997</v>
      </c>
      <c r="D36" s="22">
        <v>4.6269999999999998</v>
      </c>
      <c r="E36" s="32">
        <v>2.9020000000000001</v>
      </c>
      <c r="F36" s="1" t="str">
        <f>HYPERLINK("http://www.ncbi.nlm.nih.gov/pubmed/?term=Plcg1","Plcg1")</f>
        <v>Plcg1</v>
      </c>
    </row>
    <row r="37" spans="1:6" x14ac:dyDescent="0.25">
      <c r="A37" t="s">
        <v>24</v>
      </c>
      <c r="B37" t="s">
        <v>655</v>
      </c>
      <c r="C37" s="29">
        <v>6.9450000000000003</v>
      </c>
      <c r="D37" s="25">
        <v>6.3869999999999996</v>
      </c>
      <c r="E37" s="48">
        <v>4.3650000000000002</v>
      </c>
      <c r="F37" s="1" t="str">
        <f>HYPERLINK("http://www.ncbi.nlm.nih.gov/pubmed/?term=Mmp9","Mmp9")</f>
        <v>Mmp9</v>
      </c>
    </row>
    <row r="38" spans="1:6" x14ac:dyDescent="0.25">
      <c r="A38" t="s">
        <v>1410</v>
      </c>
      <c r="B38" t="s">
        <v>470</v>
      </c>
      <c r="C38" s="48">
        <v>3.907</v>
      </c>
      <c r="D38" s="32">
        <v>3.4430000000000001</v>
      </c>
      <c r="E38" s="32">
        <v>2.746</v>
      </c>
      <c r="F38" s="1" t="str">
        <f>HYPERLINK("http://www.ncbi.nlm.nih.gov/pubmed/?term=Rock2","Rock2")</f>
        <v>Rock2</v>
      </c>
    </row>
    <row r="39" spans="1:6" x14ac:dyDescent="0.25">
      <c r="A39" t="s">
        <v>18</v>
      </c>
      <c r="B39" t="s">
        <v>381</v>
      </c>
      <c r="C39" s="25">
        <v>5.5979999999999999</v>
      </c>
      <c r="D39" s="32">
        <v>3.3119999999999998</v>
      </c>
      <c r="E39" s="12">
        <v>2.109</v>
      </c>
      <c r="F39" s="1" t="str">
        <f>HYPERLINK("http://www.ncbi.nlm.nih.gov/pubmed/?term=Rassf5","Rassf5")</f>
        <v>Rassf5</v>
      </c>
    </row>
    <row r="40" spans="1:6" x14ac:dyDescent="0.25">
      <c r="A40" t="s">
        <v>243</v>
      </c>
      <c r="B40" t="s">
        <v>659</v>
      </c>
      <c r="C40" s="25">
        <v>6.2309999999999999</v>
      </c>
      <c r="D40" s="32">
        <v>3.367</v>
      </c>
      <c r="E40" s="26">
        <v>-0.86029999999999995</v>
      </c>
      <c r="F40" s="1" t="str">
        <f>HYPERLINK("http://www.ncbi.nlm.nih.gov/pubmed/?term=Mmp2","Mmp2")</f>
        <v>Mmp2</v>
      </c>
    </row>
    <row r="41" spans="1:6" x14ac:dyDescent="0.25">
      <c r="A41" t="s">
        <v>1205</v>
      </c>
      <c r="B41" t="s">
        <v>1329</v>
      </c>
      <c r="C41" s="25">
        <v>5.6820000000000004</v>
      </c>
      <c r="D41" s="22">
        <v>5.0220000000000002</v>
      </c>
      <c r="E41" s="22">
        <v>4.7060000000000004</v>
      </c>
      <c r="F41" s="1" t="str">
        <f>HYPERLINK("http://www.ncbi.nlm.nih.gov/pubmed/?term=Pik3r2","Pik3r2")</f>
        <v>Pik3r2</v>
      </c>
    </row>
    <row r="42" spans="1:6" x14ac:dyDescent="0.25">
      <c r="A42" t="s">
        <v>1022</v>
      </c>
      <c r="B42" t="s">
        <v>2202</v>
      </c>
      <c r="C42" s="48">
        <v>3.524</v>
      </c>
      <c r="D42" s="48">
        <v>3.5110000000000001</v>
      </c>
      <c r="E42" s="12">
        <v>2.1949999999999998</v>
      </c>
      <c r="F42" s="1" t="str">
        <f>HYPERLINK("http://www.ncbi.nlm.nih.gov/pubmed/?term=Bcar1","Bcar1")</f>
        <v>Bcar1</v>
      </c>
    </row>
    <row r="43" spans="1:6" x14ac:dyDescent="0.25">
      <c r="A43" t="s">
        <v>731</v>
      </c>
      <c r="B43" t="s">
        <v>1330</v>
      </c>
      <c r="C43" s="22">
        <v>4.9180000000000001</v>
      </c>
      <c r="D43" s="22">
        <v>4.8079999999999998</v>
      </c>
      <c r="E43" s="48">
        <v>3.7410000000000001</v>
      </c>
      <c r="F43" s="1" t="str">
        <f>HYPERLINK("http://www.ncbi.nlm.nih.gov/pubmed/?term=Pik3r1","Pik3r1")</f>
        <v>Pik3r1</v>
      </c>
    </row>
    <row r="44" spans="1:6" x14ac:dyDescent="0.25">
      <c r="A44" t="s">
        <v>1193</v>
      </c>
      <c r="B44" t="s">
        <v>1547</v>
      </c>
      <c r="C44" s="48">
        <v>3.714</v>
      </c>
      <c r="D44" s="26">
        <v>0.17949999999999999</v>
      </c>
      <c r="E44" s="26">
        <v>-2.9609999999999999</v>
      </c>
      <c r="F44" s="1" t="str">
        <f>HYPERLINK("http://www.ncbi.nlm.nih.gov/pubmed/?term=Cldn8","Cldn8")</f>
        <v>Cldn8</v>
      </c>
    </row>
    <row r="45" spans="1:6" x14ac:dyDescent="0.25">
      <c r="A45" t="s">
        <v>1902</v>
      </c>
      <c r="B45" t="s">
        <v>292</v>
      </c>
      <c r="C45" s="22">
        <v>5.4859999999999998</v>
      </c>
      <c r="D45" s="22">
        <v>5.1769999999999996</v>
      </c>
      <c r="E45" s="48">
        <v>4.3440000000000003</v>
      </c>
      <c r="F45" s="1" t="str">
        <f>HYPERLINK("http://www.ncbi.nlm.nih.gov/pubmed/?term=Mapk14","Mapk14")</f>
        <v>Mapk14</v>
      </c>
    </row>
    <row r="46" spans="1:6" x14ac:dyDescent="0.25">
      <c r="A46" t="s">
        <v>1918</v>
      </c>
      <c r="B46" t="s">
        <v>881</v>
      </c>
      <c r="C46" s="48">
        <v>4.2149999999999999</v>
      </c>
      <c r="D46" s="48">
        <v>3.6960000000000002</v>
      </c>
      <c r="E46" s="12">
        <v>2.4860000000000002</v>
      </c>
      <c r="F46" s="1" t="str">
        <f>HYPERLINK("http://www.ncbi.nlm.nih.gov/pubmed/?term=Grlf1","Grlf1")</f>
        <v>Grlf1</v>
      </c>
    </row>
    <row r="47" spans="1:6" x14ac:dyDescent="0.25">
      <c r="A47" t="s">
        <v>2072</v>
      </c>
      <c r="B47" t="s">
        <v>1589</v>
      </c>
      <c r="C47" s="24">
        <v>8.0980000000000008</v>
      </c>
      <c r="D47" s="12">
        <v>1.8280000000000001</v>
      </c>
      <c r="E47" s="26">
        <v>-1.3660000000000001</v>
      </c>
      <c r="F47" s="1" t="str">
        <f>HYPERLINK("http://www.ncbi.nlm.nih.gov/pubmed/?term=Cxcl12","Cxcl12")</f>
        <v>Cxcl12</v>
      </c>
    </row>
    <row r="48" spans="1:6" x14ac:dyDescent="0.25">
      <c r="A48" t="s">
        <v>1819</v>
      </c>
      <c r="B48" t="s">
        <v>1948</v>
      </c>
      <c r="C48" s="25">
        <v>6.0519999999999996</v>
      </c>
      <c r="D48" s="25">
        <v>5.57</v>
      </c>
      <c r="E48" s="24">
        <v>7.7460000000000004</v>
      </c>
      <c r="F48" s="1" t="str">
        <f>HYPERLINK("http://www.ncbi.nlm.nih.gov/pubmed/?term=Actn3","Actn3")</f>
        <v>Actn3</v>
      </c>
    </row>
    <row r="49" spans="1:6" x14ac:dyDescent="0.25">
      <c r="A49" t="s">
        <v>546</v>
      </c>
      <c r="B49" t="s">
        <v>647</v>
      </c>
      <c r="C49" s="29">
        <v>7.0970000000000004</v>
      </c>
      <c r="D49" s="29">
        <v>6.6790000000000003</v>
      </c>
      <c r="E49" s="46">
        <v>8.57</v>
      </c>
      <c r="F49" s="1" t="str">
        <f>HYPERLINK("http://www.ncbi.nlm.nih.gov/pubmed/?term=Icam1","Icam1")</f>
        <v>Icam1</v>
      </c>
    </row>
    <row r="50" spans="1:6" x14ac:dyDescent="0.25">
      <c r="A50" t="s">
        <v>1880</v>
      </c>
      <c r="B50" t="s">
        <v>1077</v>
      </c>
      <c r="C50" s="48">
        <v>3.6549999999999998</v>
      </c>
      <c r="D50" s="32">
        <v>3.3140000000000001</v>
      </c>
      <c r="E50" s="25">
        <v>6.2270000000000003</v>
      </c>
      <c r="F50" s="1" t="str">
        <f>HYPERLINK("http://www.ncbi.nlm.nih.gov/pubmed/?term=Prkca","Prkca")</f>
        <v>Prkca</v>
      </c>
    </row>
    <row r="51" spans="1:6" x14ac:dyDescent="0.25">
      <c r="A51" t="s">
        <v>1660</v>
      </c>
      <c r="B51" t="s">
        <v>2069</v>
      </c>
      <c r="C51" s="48">
        <v>3.8090000000000002</v>
      </c>
      <c r="D51" s="26">
        <v>-1.27</v>
      </c>
      <c r="E51" s="26">
        <v>-1.117</v>
      </c>
      <c r="F51" s="1" t="str">
        <f>HYPERLINK("http://www.ncbi.nlm.nih.gov/pubmed/?term=Itgb2","Itgb2")</f>
        <v>Itgb2</v>
      </c>
    </row>
    <row r="52" spans="1:6" x14ac:dyDescent="0.25">
      <c r="A52" t="s">
        <v>1562</v>
      </c>
      <c r="B52" t="s">
        <v>484</v>
      </c>
      <c r="C52" s="24">
        <v>7.5010000000000003</v>
      </c>
      <c r="D52" s="25">
        <v>6.391</v>
      </c>
      <c r="E52" s="29">
        <v>6.5460000000000003</v>
      </c>
      <c r="F52" s="1" t="str">
        <f>HYPERLINK("http://www.ncbi.nlm.nih.gov/pubmed/?term=Vcam1","Vcam1")</f>
        <v>Vcam1</v>
      </c>
    </row>
    <row r="53" spans="1:6" x14ac:dyDescent="0.25">
      <c r="A53" t="s">
        <v>1094</v>
      </c>
      <c r="B53" t="s">
        <v>1576</v>
      </c>
      <c r="C53" s="22">
        <v>4.66</v>
      </c>
      <c r="D53" s="20">
        <v>0.74939999999999996</v>
      </c>
      <c r="E53" s="48">
        <v>4.3440000000000003</v>
      </c>
      <c r="F53" s="1" t="str">
        <f>HYPERLINK("http://www.ncbi.nlm.nih.gov/pubmed/?term=Thy1","Thy1")</f>
        <v>Thy1</v>
      </c>
    </row>
    <row r="54" spans="1:6" x14ac:dyDescent="0.25">
      <c r="A54" t="s">
        <v>783</v>
      </c>
      <c r="B54" t="s">
        <v>27</v>
      </c>
      <c r="C54" s="29">
        <v>7.1360000000000001</v>
      </c>
      <c r="D54" s="25">
        <v>5.8879999999999999</v>
      </c>
      <c r="E54" s="29">
        <v>6.8680000000000003</v>
      </c>
      <c r="F54" s="1" t="str">
        <f>HYPERLINK("http://www.ncbi.nlm.nih.gov/pubmed/?term=Ezr","Ezr")</f>
        <v>Ezr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workbookViewId="0">
      <selection activeCell="E4" sqref="E4"/>
    </sheetView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878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1971</v>
      </c>
      <c r="B5" t="s">
        <v>671</v>
      </c>
      <c r="C5" s="26">
        <v>-2.4889999999999999</v>
      </c>
      <c r="D5" s="15">
        <v>3.9620000000000002</v>
      </c>
      <c r="E5" s="8">
        <v>1.2070000000000001</v>
      </c>
      <c r="F5" s="1" t="str">
        <f>HYPERLINK("http://www.ncbi.nlm.nih.gov/pubmed/?term=Pgf","Pgf")</f>
        <v>Pgf</v>
      </c>
    </row>
    <row r="6" spans="1:6" x14ac:dyDescent="0.25">
      <c r="A6" t="s">
        <v>2016</v>
      </c>
      <c r="B6" t="s">
        <v>1464</v>
      </c>
      <c r="C6" s="26">
        <v>-0.25159999999999999</v>
      </c>
      <c r="D6" s="19">
        <v>4.952</v>
      </c>
      <c r="E6" s="8">
        <v>0.69540000000000002</v>
      </c>
      <c r="F6" s="1" t="str">
        <f>HYPERLINK("http://www.ncbi.nlm.nih.gov/pubmed/?term=Pik3cg","Pik3cg")</f>
        <v>Pik3cg</v>
      </c>
    </row>
    <row r="7" spans="1:6" x14ac:dyDescent="0.25">
      <c r="A7" t="s">
        <v>1335</v>
      </c>
      <c r="B7" t="s">
        <v>1328</v>
      </c>
      <c r="C7" s="8">
        <v>0.53520000000000001</v>
      </c>
      <c r="D7" s="3">
        <v>5.8090000000000002</v>
      </c>
      <c r="E7" s="41">
        <v>2.5489999999999999</v>
      </c>
      <c r="F7" s="1" t="str">
        <f>HYPERLINK("http://www.ncbi.nlm.nih.gov/pubmed/?term=Pik3r5","Pik3r5")</f>
        <v>Pik3r5</v>
      </c>
    </row>
    <row r="8" spans="1:6" x14ac:dyDescent="0.25">
      <c r="A8" t="s">
        <v>1118</v>
      </c>
      <c r="B8" t="s">
        <v>1876</v>
      </c>
      <c r="C8" s="26">
        <v>-0.1104</v>
      </c>
      <c r="D8" s="3">
        <v>5.7569999999999997</v>
      </c>
      <c r="E8" s="19">
        <v>5.3170000000000002</v>
      </c>
      <c r="F8" s="1" t="str">
        <f>HYPERLINK("http://www.ncbi.nlm.nih.gov/pubmed/?term=Dapk2","Dapk2")</f>
        <v>Dapk2</v>
      </c>
    </row>
    <row r="9" spans="1:6" x14ac:dyDescent="0.25">
      <c r="A9" t="s">
        <v>276</v>
      </c>
      <c r="B9" t="s">
        <v>1181</v>
      </c>
      <c r="C9" s="41">
        <v>2.7959999999999998</v>
      </c>
      <c r="D9" s="19">
        <v>4.8380000000000001</v>
      </c>
      <c r="E9" s="41">
        <v>3.4089999999999998</v>
      </c>
      <c r="F9" s="1" t="str">
        <f>HYPERLINK("http://www.ncbi.nlm.nih.gov/pubmed/?term=Plcg2","Plcg2")</f>
        <v>Plcg2</v>
      </c>
    </row>
    <row r="10" spans="1:6" x14ac:dyDescent="0.25">
      <c r="A10" t="s">
        <v>853</v>
      </c>
      <c r="B10" t="s">
        <v>1990</v>
      </c>
      <c r="C10" s="26">
        <v>2.0140000000000002E-2</v>
      </c>
      <c r="D10" s="19">
        <v>5.3710000000000004</v>
      </c>
      <c r="E10" s="15">
        <v>4.4320000000000004</v>
      </c>
      <c r="F10" s="1" t="str">
        <f>HYPERLINK("http://www.ncbi.nlm.nih.gov/pubmed/?term=Ccnd1","Ccnd1")</f>
        <v>Ccnd1</v>
      </c>
    </row>
    <row r="11" spans="1:6" x14ac:dyDescent="0.25">
      <c r="A11" t="s">
        <v>658</v>
      </c>
      <c r="B11" t="s">
        <v>310</v>
      </c>
      <c r="C11" s="19">
        <v>4.585</v>
      </c>
      <c r="D11" s="19">
        <v>5.2720000000000002</v>
      </c>
      <c r="E11" s="3">
        <v>5.6970000000000001</v>
      </c>
      <c r="F11" s="1" t="str">
        <f>HYPERLINK("http://www.ncbi.nlm.nih.gov/pubmed/?term=Itga3","Itga3")</f>
        <v>Itga3</v>
      </c>
    </row>
    <row r="12" spans="1:6" x14ac:dyDescent="0.25">
      <c r="A12" t="s">
        <v>538</v>
      </c>
      <c r="B12" t="s">
        <v>1263</v>
      </c>
      <c r="C12" s="19">
        <v>5.3659999999999997</v>
      </c>
      <c r="D12" s="19">
        <v>5.4429999999999996</v>
      </c>
      <c r="E12" s="9">
        <v>7.1589999999999998</v>
      </c>
      <c r="F12" s="1" t="str">
        <f>HYPERLINK("http://www.ncbi.nlm.nih.gov/pubmed/?term=Bax","Bax")</f>
        <v>Bax</v>
      </c>
    </row>
    <row r="13" spans="1:6" x14ac:dyDescent="0.25">
      <c r="A13" t="s">
        <v>390</v>
      </c>
      <c r="B13" t="s">
        <v>1712</v>
      </c>
      <c r="C13" s="3">
        <v>5.78</v>
      </c>
      <c r="D13" s="9">
        <v>6.601</v>
      </c>
      <c r="E13" s="39">
        <v>7.68</v>
      </c>
      <c r="F13" s="1" t="str">
        <f>HYPERLINK("http://www.ncbi.nlm.nih.gov/pubmed/?term=Stat3","Stat3")</f>
        <v>Stat3</v>
      </c>
    </row>
    <row r="14" spans="1:6" x14ac:dyDescent="0.25">
      <c r="A14" t="s">
        <v>389</v>
      </c>
      <c r="B14" t="s">
        <v>712</v>
      </c>
      <c r="C14" s="37">
        <v>2.3450000000000002</v>
      </c>
      <c r="D14" s="3">
        <v>5.5529999999999999</v>
      </c>
      <c r="E14" s="9">
        <v>6.5759999999999996</v>
      </c>
      <c r="F14" s="1" t="str">
        <f>HYPERLINK("http://www.ncbi.nlm.nih.gov/pubmed/?term=Stat5a","Stat5a")</f>
        <v>Stat5a</v>
      </c>
    </row>
    <row r="15" spans="1:6" x14ac:dyDescent="0.25">
      <c r="A15" t="s">
        <v>877</v>
      </c>
      <c r="B15" t="s">
        <v>1361</v>
      </c>
      <c r="C15" s="26">
        <v>0.43819999999999998</v>
      </c>
      <c r="D15" s="15">
        <v>4.4859999999999998</v>
      </c>
      <c r="E15" s="19">
        <v>5.1130000000000004</v>
      </c>
      <c r="F15" s="1" t="str">
        <f>HYPERLINK("http://www.ncbi.nlm.nih.gov/pubmed/?term=Kit","Kit")</f>
        <v>Kit</v>
      </c>
    </row>
    <row r="16" spans="1:6" x14ac:dyDescent="0.25">
      <c r="A16" t="s">
        <v>1237</v>
      </c>
      <c r="B16" t="s">
        <v>1139</v>
      </c>
      <c r="C16" s="15">
        <v>4.141</v>
      </c>
      <c r="D16" s="15">
        <v>4.1669999999999998</v>
      </c>
      <c r="E16" s="9">
        <v>6.782</v>
      </c>
      <c r="F16" s="1" t="str">
        <f>HYPERLINK("http://www.ncbi.nlm.nih.gov/pubmed/?term=Bcl2l1","Bcl2l1")</f>
        <v>Bcl2l1</v>
      </c>
    </row>
    <row r="17" spans="1:6" x14ac:dyDescent="0.25">
      <c r="A17" t="s">
        <v>2104</v>
      </c>
      <c r="B17" t="s">
        <v>2006</v>
      </c>
      <c r="C17" s="8">
        <v>1.4119999999999999</v>
      </c>
      <c r="D17" s="15">
        <v>3.6469999999999998</v>
      </c>
      <c r="E17" s="19">
        <v>4.6820000000000004</v>
      </c>
      <c r="F17" s="1" t="str">
        <f>HYPERLINK("http://www.ncbi.nlm.nih.gov/pubmed/?term=Arnt2","Arnt2")</f>
        <v>Arnt2</v>
      </c>
    </row>
    <row r="18" spans="1:6" x14ac:dyDescent="0.25">
      <c r="A18" t="s">
        <v>33</v>
      </c>
      <c r="B18" t="s">
        <v>1008</v>
      </c>
      <c r="C18" s="15">
        <v>3.6720000000000002</v>
      </c>
      <c r="D18" s="15">
        <v>4.0519999999999996</v>
      </c>
      <c r="E18" s="19">
        <v>4.9240000000000004</v>
      </c>
      <c r="F18" s="1" t="str">
        <f>HYPERLINK("http://www.ncbi.nlm.nih.gov/pubmed/?term=Stk4","Stk4")</f>
        <v>Stk4</v>
      </c>
    </row>
    <row r="19" spans="1:6" x14ac:dyDescent="0.25">
      <c r="A19" t="s">
        <v>1146</v>
      </c>
      <c r="B19" t="s">
        <v>1164</v>
      </c>
      <c r="C19" s="39">
        <v>7.7949999999999999</v>
      </c>
      <c r="D19" s="39">
        <v>8.4410000000000007</v>
      </c>
      <c r="E19" s="43">
        <v>9.6780000000000008</v>
      </c>
      <c r="F19" s="1" t="str">
        <f>HYPERLINK("http://www.ncbi.nlm.nih.gov/pubmed/?term=Hsp90b1","Hsp90b1")</f>
        <v>Hsp90b1</v>
      </c>
    </row>
    <row r="20" spans="1:6" x14ac:dyDescent="0.25">
      <c r="A20" t="s">
        <v>1291</v>
      </c>
      <c r="B20" t="s">
        <v>681</v>
      </c>
      <c r="C20" s="26">
        <v>-1.431</v>
      </c>
      <c r="D20" s="41">
        <v>2.6589999999999998</v>
      </c>
      <c r="E20" s="19">
        <v>4.5880000000000001</v>
      </c>
      <c r="F20" s="1" t="str">
        <f>HYPERLINK("http://www.ncbi.nlm.nih.gov/pubmed/?term=Igf1","Igf1")</f>
        <v>Igf1</v>
      </c>
    </row>
    <row r="21" spans="1:6" x14ac:dyDescent="0.25">
      <c r="A21" t="s">
        <v>1173</v>
      </c>
      <c r="B21" t="s">
        <v>1060</v>
      </c>
      <c r="C21" s="26">
        <v>-1.2470000000000001</v>
      </c>
      <c r="D21" s="37">
        <v>2.052</v>
      </c>
      <c r="E21" s="9">
        <v>7.4489999999999998</v>
      </c>
      <c r="F21" s="1" t="str">
        <f>HYPERLINK("http://www.ncbi.nlm.nih.gov/pubmed/?term=Nos2","Nos2")</f>
        <v>Nos2</v>
      </c>
    </row>
    <row r="22" spans="1:6" x14ac:dyDescent="0.25">
      <c r="A22" t="s">
        <v>1282</v>
      </c>
      <c r="B22" t="s">
        <v>1635</v>
      </c>
      <c r="C22" s="26">
        <v>-1.7629999999999999</v>
      </c>
      <c r="D22" s="41">
        <v>3.2189999999999999</v>
      </c>
      <c r="E22" s="19">
        <v>5.327</v>
      </c>
      <c r="F22" s="1" t="str">
        <f>HYPERLINK("http://www.ncbi.nlm.nih.gov/pubmed/?term=Wnt10b","Wnt10b")</f>
        <v>Wnt10b</v>
      </c>
    </row>
    <row r="23" spans="1:6" x14ac:dyDescent="0.25">
      <c r="A23" t="s">
        <v>567</v>
      </c>
      <c r="B23" t="s">
        <v>1580</v>
      </c>
      <c r="C23" s="15">
        <v>3.569</v>
      </c>
      <c r="D23" s="3">
        <v>5.556</v>
      </c>
      <c r="E23" s="3">
        <v>6.1470000000000002</v>
      </c>
      <c r="F23" s="1" t="str">
        <f>HYPERLINK("http://www.ncbi.nlm.nih.gov/pubmed/?term=Cdkn1a","Cdkn1a")</f>
        <v>Cdkn1a</v>
      </c>
    </row>
    <row r="24" spans="1:6" x14ac:dyDescent="0.25">
      <c r="A24" t="s">
        <v>986</v>
      </c>
      <c r="B24" t="s">
        <v>2073</v>
      </c>
      <c r="C24" s="37">
        <v>2.4039999999999999</v>
      </c>
      <c r="D24" s="15">
        <v>4.0590000000000002</v>
      </c>
      <c r="E24" s="3">
        <v>6.069</v>
      </c>
      <c r="F24" s="1" t="str">
        <f>HYPERLINK("http://www.ncbi.nlm.nih.gov/pubmed/?term=Fas","Fas")</f>
        <v>Fas</v>
      </c>
    </row>
    <row r="25" spans="1:6" x14ac:dyDescent="0.25">
      <c r="A25" t="s">
        <v>1851</v>
      </c>
      <c r="B25" t="s">
        <v>1249</v>
      </c>
      <c r="C25" s="3">
        <v>6.2190000000000003</v>
      </c>
      <c r="D25" s="3">
        <v>6.3710000000000004</v>
      </c>
      <c r="E25" s="39">
        <v>7.9530000000000003</v>
      </c>
      <c r="F25" s="1" t="str">
        <f>HYPERLINK("http://www.ncbi.nlm.nih.gov/pubmed/?term=Nfkb2","Nfkb2")</f>
        <v>Nfkb2</v>
      </c>
    </row>
    <row r="26" spans="1:6" x14ac:dyDescent="0.25">
      <c r="A26" t="s">
        <v>2023</v>
      </c>
      <c r="B26" t="s">
        <v>897</v>
      </c>
      <c r="C26" s="15">
        <v>4.37</v>
      </c>
      <c r="D26" s="19">
        <v>5.0970000000000004</v>
      </c>
      <c r="E26" s="19">
        <v>5.4119999999999999</v>
      </c>
      <c r="F26" s="1" t="str">
        <f>HYPERLINK("http://www.ncbi.nlm.nih.gov/pubmed/?term=Hras1","Hras1")</f>
        <v>Hras1</v>
      </c>
    </row>
    <row r="27" spans="1:6" x14ac:dyDescent="0.25">
      <c r="A27" t="s">
        <v>551</v>
      </c>
      <c r="B27" t="s">
        <v>1634</v>
      </c>
      <c r="C27" s="26">
        <v>-2.3820000000000001</v>
      </c>
      <c r="D27" s="41">
        <v>3.0019999999999998</v>
      </c>
      <c r="E27" s="15">
        <v>4.1829999999999998</v>
      </c>
      <c r="F27" s="1" t="str">
        <f>HYPERLINK("http://www.ncbi.nlm.nih.gov/pubmed/?term=Wnt10a","Wnt10a")</f>
        <v>Wnt10a</v>
      </c>
    </row>
    <row r="28" spans="1:6" x14ac:dyDescent="0.25">
      <c r="A28" t="s">
        <v>1226</v>
      </c>
      <c r="B28" t="s">
        <v>1317</v>
      </c>
      <c r="C28" s="26">
        <v>-0.19309999999999999</v>
      </c>
      <c r="D28" s="15">
        <v>3.6419999999999999</v>
      </c>
      <c r="E28" s="3">
        <v>5.7389999999999999</v>
      </c>
      <c r="F28" s="1" t="str">
        <f>HYPERLINK("http://www.ncbi.nlm.nih.gov/pubmed/?term=Traf1","Traf1")</f>
        <v>Traf1</v>
      </c>
    </row>
    <row r="29" spans="1:6" x14ac:dyDescent="0.25">
      <c r="A29" t="s">
        <v>577</v>
      </c>
      <c r="B29" t="s">
        <v>1318</v>
      </c>
      <c r="C29" s="15">
        <v>4.1280000000000001</v>
      </c>
      <c r="D29" s="15">
        <v>4.3479999999999999</v>
      </c>
      <c r="E29" s="19">
        <v>5.4850000000000003</v>
      </c>
      <c r="F29" s="1" t="str">
        <f>HYPERLINK("http://www.ncbi.nlm.nih.gov/pubmed/?term=Traf2","Traf2")</f>
        <v>Traf2</v>
      </c>
    </row>
    <row r="30" spans="1:6" x14ac:dyDescent="0.25">
      <c r="A30" t="s">
        <v>441</v>
      </c>
      <c r="B30" t="s">
        <v>1931</v>
      </c>
      <c r="C30" s="41">
        <v>3.1080000000000001</v>
      </c>
      <c r="D30" s="15">
        <v>3.96</v>
      </c>
      <c r="E30" s="15">
        <v>4.4850000000000003</v>
      </c>
      <c r="F30" s="1" t="str">
        <f>HYPERLINK("http://www.ncbi.nlm.nih.gov/pubmed/?term=Slc2a1","Slc2a1")</f>
        <v>Slc2a1</v>
      </c>
    </row>
    <row r="31" spans="1:6" x14ac:dyDescent="0.25">
      <c r="A31" t="s">
        <v>1667</v>
      </c>
      <c r="B31" t="s">
        <v>574</v>
      </c>
      <c r="C31" s="26">
        <v>-1.9890000000000001</v>
      </c>
      <c r="D31" s="41">
        <v>2.7</v>
      </c>
      <c r="E31" s="41">
        <v>3.3679999999999999</v>
      </c>
      <c r="F31" s="1" t="str">
        <f>HYPERLINK("http://www.ncbi.nlm.nih.gov/pubmed/?term=Ret","Ret")</f>
        <v>Ret</v>
      </c>
    </row>
    <row r="32" spans="1:6" x14ac:dyDescent="0.25">
      <c r="A32" t="s">
        <v>1358</v>
      </c>
      <c r="B32" t="s">
        <v>93</v>
      </c>
      <c r="C32" s="37">
        <v>1.631</v>
      </c>
      <c r="D32" s="19">
        <v>5.2169999999999996</v>
      </c>
      <c r="E32" s="43">
        <v>8.82</v>
      </c>
      <c r="F32" s="1" t="str">
        <f>HYPERLINK("http://www.ncbi.nlm.nih.gov/pubmed/?term=Fgf21","Fgf21")</f>
        <v>Fgf21</v>
      </c>
    </row>
    <row r="33" spans="1:6" x14ac:dyDescent="0.25">
      <c r="A33" t="s">
        <v>2008</v>
      </c>
      <c r="B33" t="s">
        <v>1548</v>
      </c>
      <c r="C33" s="37">
        <v>1.6479999999999999</v>
      </c>
      <c r="D33" s="37">
        <v>2.121</v>
      </c>
      <c r="E33" s="15">
        <v>4.1719999999999997</v>
      </c>
      <c r="F33" s="1" t="str">
        <f>HYPERLINK("http://www.ncbi.nlm.nih.gov/pubmed/?term=Fgf13","Fgf13")</f>
        <v>Fgf13</v>
      </c>
    </row>
    <row r="34" spans="1:6" x14ac:dyDescent="0.25">
      <c r="A34" t="s">
        <v>1352</v>
      </c>
      <c r="B34" t="s">
        <v>2160</v>
      </c>
      <c r="C34" s="19">
        <v>4.5460000000000003</v>
      </c>
      <c r="D34" s="19">
        <v>4.9820000000000002</v>
      </c>
      <c r="E34" s="3">
        <v>6.2560000000000002</v>
      </c>
      <c r="F34" s="1" t="str">
        <f>HYPERLINK("http://www.ncbi.nlm.nih.gov/pubmed/?term=Ikbkb","Ikbkb")</f>
        <v>Ikbkb</v>
      </c>
    </row>
    <row r="35" spans="1:6" x14ac:dyDescent="0.25">
      <c r="A35" t="s">
        <v>2042</v>
      </c>
      <c r="B35" t="s">
        <v>1233</v>
      </c>
      <c r="C35" s="3">
        <v>5.5170000000000003</v>
      </c>
      <c r="D35" s="3">
        <v>5.56</v>
      </c>
      <c r="E35" s="9">
        <v>7.3120000000000003</v>
      </c>
      <c r="F35" s="1" t="str">
        <f>HYPERLINK("http://www.ncbi.nlm.nih.gov/pubmed/?term=Birc3","Birc3")</f>
        <v>Birc3</v>
      </c>
    </row>
    <row r="36" spans="1:6" x14ac:dyDescent="0.25">
      <c r="A36" t="s">
        <v>333</v>
      </c>
      <c r="B36" t="s">
        <v>1460</v>
      </c>
      <c r="C36" s="26">
        <v>0.44829999999999998</v>
      </c>
      <c r="D36" s="37">
        <v>2.1360000000000001</v>
      </c>
      <c r="E36" s="15">
        <v>3.8809999999999998</v>
      </c>
      <c r="F36" s="1" t="str">
        <f>HYPERLINK("http://www.ncbi.nlm.nih.gov/pubmed/?term=Pik3cb","Pik3cb")</f>
        <v>Pik3cb</v>
      </c>
    </row>
    <row r="37" spans="1:6" x14ac:dyDescent="0.25">
      <c r="A37" t="s">
        <v>1849</v>
      </c>
      <c r="B37" t="s">
        <v>703</v>
      </c>
      <c r="C37" s="26">
        <v>-7.85E-2</v>
      </c>
      <c r="D37" s="15">
        <v>3.8530000000000002</v>
      </c>
      <c r="E37" s="39">
        <v>8.1</v>
      </c>
      <c r="F37" s="1" t="str">
        <f>HYPERLINK("http://www.ncbi.nlm.nih.gov/pubmed/?term=Ptgs2","Ptgs2")</f>
        <v>Ptgs2</v>
      </c>
    </row>
    <row r="38" spans="1:6" x14ac:dyDescent="0.25">
      <c r="A38" t="s">
        <v>674</v>
      </c>
      <c r="B38" t="s">
        <v>1949</v>
      </c>
      <c r="C38" s="41">
        <v>2.6110000000000002</v>
      </c>
      <c r="D38" s="15">
        <v>4.2789999999999999</v>
      </c>
      <c r="E38" s="9">
        <v>6.8239999999999998</v>
      </c>
      <c r="F38" s="1" t="str">
        <f>HYPERLINK("http://www.ncbi.nlm.nih.gov/pubmed/?term=Rac2","Rac2")</f>
        <v>Rac2</v>
      </c>
    </row>
    <row r="39" spans="1:6" x14ac:dyDescent="0.25">
      <c r="A39" t="s">
        <v>278</v>
      </c>
      <c r="B39" t="s">
        <v>195</v>
      </c>
      <c r="C39" s="41">
        <v>3.3119999999999998</v>
      </c>
      <c r="D39" s="15">
        <v>3.8159999999999998</v>
      </c>
      <c r="E39" s="15">
        <v>4.2210000000000001</v>
      </c>
      <c r="F39" s="1" t="str">
        <f>HYPERLINK("http://www.ncbi.nlm.nih.gov/pubmed/?term=Rara","Rara")</f>
        <v>Rara</v>
      </c>
    </row>
    <row r="40" spans="1:6" x14ac:dyDescent="0.25">
      <c r="A40" t="s">
        <v>823</v>
      </c>
      <c r="B40" t="s">
        <v>1992</v>
      </c>
      <c r="C40" s="26">
        <v>-2.1560000000000001</v>
      </c>
      <c r="D40" s="41">
        <v>3.274</v>
      </c>
      <c r="E40" s="15">
        <v>3.9910000000000001</v>
      </c>
      <c r="F40" s="1" t="str">
        <f>HYPERLINK("http://www.ncbi.nlm.nih.gov/pubmed/?term=Cdkn2a","Cdkn2a")</f>
        <v>Cdkn2a</v>
      </c>
    </row>
    <row r="41" spans="1:6" x14ac:dyDescent="0.25">
      <c r="A41" t="s">
        <v>167</v>
      </c>
      <c r="B41" t="s">
        <v>971</v>
      </c>
      <c r="C41" s="37">
        <v>1.5860000000000001</v>
      </c>
      <c r="D41" s="37">
        <v>2.2469999999999999</v>
      </c>
      <c r="E41" s="15">
        <v>4.2910000000000004</v>
      </c>
      <c r="F41" s="1" t="str">
        <f>HYPERLINK("http://www.ncbi.nlm.nih.gov/pubmed/?term=Fzd1","Fzd1")</f>
        <v>Fzd1</v>
      </c>
    </row>
    <row r="42" spans="1:6" x14ac:dyDescent="0.25">
      <c r="A42" t="s">
        <v>91</v>
      </c>
      <c r="B42" t="s">
        <v>1403</v>
      </c>
      <c r="C42" s="37">
        <v>1.8640000000000001</v>
      </c>
      <c r="D42" s="15">
        <v>3.6930000000000001</v>
      </c>
      <c r="E42" s="19">
        <v>4.968</v>
      </c>
      <c r="F42" s="1" t="str">
        <f>HYPERLINK("http://www.ncbi.nlm.nih.gov/pubmed/?term=Erbb2","Erbb2")</f>
        <v>Erbb2</v>
      </c>
    </row>
    <row r="43" spans="1:6" x14ac:dyDescent="0.25">
      <c r="A43" t="s">
        <v>979</v>
      </c>
      <c r="B43" t="s">
        <v>1058</v>
      </c>
      <c r="C43" s="26">
        <v>-1.1819999999999999</v>
      </c>
      <c r="D43" s="15">
        <v>3.6190000000000002</v>
      </c>
      <c r="E43" s="19">
        <v>4.5949999999999998</v>
      </c>
      <c r="F43" s="1" t="str">
        <f>HYPERLINK("http://www.ncbi.nlm.nih.gov/pubmed/?term=Cdkn2b","Cdkn2b")</f>
        <v>Cdkn2b</v>
      </c>
    </row>
    <row r="44" spans="1:6" x14ac:dyDescent="0.25">
      <c r="A44" t="s">
        <v>1978</v>
      </c>
      <c r="B44" t="s">
        <v>813</v>
      </c>
      <c r="C44" s="9">
        <v>6.7960000000000003</v>
      </c>
      <c r="D44" s="9">
        <v>7.45</v>
      </c>
      <c r="E44" s="3">
        <v>6.3970000000000002</v>
      </c>
      <c r="F44" s="1" t="str">
        <f>HYPERLINK("http://www.ncbi.nlm.nih.gov/pubmed/?term=Cdh1","Cdh1")</f>
        <v>Cdh1</v>
      </c>
    </row>
    <row r="45" spans="1:6" x14ac:dyDescent="0.25">
      <c r="A45" t="s">
        <v>1674</v>
      </c>
      <c r="B45" t="s">
        <v>52</v>
      </c>
      <c r="C45" s="41">
        <v>3.4660000000000002</v>
      </c>
      <c r="D45" s="15">
        <v>3.9079999999999999</v>
      </c>
      <c r="E45" s="37">
        <v>2.2549999999999999</v>
      </c>
      <c r="F45" s="1" t="str">
        <f>HYPERLINK("http://www.ncbi.nlm.nih.gov/pubmed/?term=Lama5","Lama5")</f>
        <v>Lama5</v>
      </c>
    </row>
    <row r="46" spans="1:6" x14ac:dyDescent="0.25">
      <c r="A46" t="s">
        <v>1045</v>
      </c>
      <c r="B46" t="s">
        <v>1412</v>
      </c>
      <c r="C46" s="39">
        <v>8.2629999999999999</v>
      </c>
      <c r="D46" s="43">
        <v>8.5969999999999995</v>
      </c>
      <c r="E46" s="9">
        <v>6.7990000000000004</v>
      </c>
      <c r="F46" s="1" t="str">
        <f>HYPERLINK("http://www.ncbi.nlm.nih.gov/pubmed/?term=Fos","Fos")</f>
        <v>Fos</v>
      </c>
    </row>
    <row r="47" spans="1:6" x14ac:dyDescent="0.25">
      <c r="A47" t="s">
        <v>1882</v>
      </c>
      <c r="B47" t="s">
        <v>474</v>
      </c>
      <c r="C47" s="41">
        <v>3.1909999999999998</v>
      </c>
      <c r="D47" s="15">
        <v>4.0170000000000003</v>
      </c>
      <c r="E47" s="8">
        <v>1.3959999999999999</v>
      </c>
      <c r="F47" s="1" t="str">
        <f>HYPERLINK("http://www.ncbi.nlm.nih.gov/pubmed/?term=Tgfb3","Tgfb3")</f>
        <v>Tgfb3</v>
      </c>
    </row>
    <row r="48" spans="1:6" x14ac:dyDescent="0.25">
      <c r="A48" t="s">
        <v>964</v>
      </c>
      <c r="B48" t="s">
        <v>2107</v>
      </c>
      <c r="C48" s="37">
        <v>1.6579999999999999</v>
      </c>
      <c r="D48" s="15">
        <v>3.56</v>
      </c>
      <c r="E48" s="8">
        <v>0.83879999999999999</v>
      </c>
      <c r="F48" s="1" t="str">
        <f>HYPERLINK("http://www.ncbi.nlm.nih.gov/pubmed/?term=Runx1","Runx1")</f>
        <v>Runx1</v>
      </c>
    </row>
    <row r="49" spans="1:6" x14ac:dyDescent="0.25">
      <c r="A49" t="s">
        <v>1334</v>
      </c>
      <c r="B49" t="s">
        <v>5</v>
      </c>
      <c r="C49" s="41">
        <v>3.4769999999999999</v>
      </c>
      <c r="D49" s="15">
        <v>3.6840000000000002</v>
      </c>
      <c r="E49" s="41">
        <v>2.5219999999999998</v>
      </c>
      <c r="F49" s="1" t="str">
        <f>HYPERLINK("http://www.ncbi.nlm.nih.gov/pubmed/?term=Sos1","Sos1")</f>
        <v>Sos1</v>
      </c>
    </row>
    <row r="50" spans="1:6" x14ac:dyDescent="0.25">
      <c r="A50" t="s">
        <v>335</v>
      </c>
      <c r="B50" t="s">
        <v>50</v>
      </c>
      <c r="C50" s="19">
        <v>5.3849999999999998</v>
      </c>
      <c r="D50" s="3">
        <v>5.9589999999999996</v>
      </c>
      <c r="E50" s="15">
        <v>4.1619999999999999</v>
      </c>
      <c r="F50" s="1" t="str">
        <f>HYPERLINK("http://www.ncbi.nlm.nih.gov/pubmed/?term=Lama3","Lama3")</f>
        <v>Lama3</v>
      </c>
    </row>
    <row r="51" spans="1:6" x14ac:dyDescent="0.25">
      <c r="A51" t="s">
        <v>1210</v>
      </c>
      <c r="B51" t="s">
        <v>1944</v>
      </c>
      <c r="C51" s="19">
        <v>4.9720000000000004</v>
      </c>
      <c r="D51" s="3">
        <v>6.375</v>
      </c>
      <c r="E51" s="19">
        <v>4.8499999999999996</v>
      </c>
      <c r="F51" s="1" t="str">
        <f>HYPERLINK("http://www.ncbi.nlm.nih.gov/pubmed/?term=Lamc2","Lamc2")</f>
        <v>Lamc2</v>
      </c>
    </row>
    <row r="52" spans="1:6" x14ac:dyDescent="0.25">
      <c r="A52" t="s">
        <v>880</v>
      </c>
      <c r="B52" t="s">
        <v>1788</v>
      </c>
      <c r="C52" s="3">
        <v>5.6509999999999998</v>
      </c>
      <c r="D52" s="3">
        <v>5.7839999999999998</v>
      </c>
      <c r="E52" s="41">
        <v>2.7770000000000001</v>
      </c>
      <c r="F52" s="1" t="str">
        <f>HYPERLINK("http://www.ncbi.nlm.nih.gov/pubmed/?term=Lamb3","Lamb3")</f>
        <v>Lamb3</v>
      </c>
    </row>
    <row r="53" spans="1:6" x14ac:dyDescent="0.25">
      <c r="A53" t="s">
        <v>1806</v>
      </c>
      <c r="B53" t="s">
        <v>485</v>
      </c>
      <c r="C53" s="9">
        <v>6.548</v>
      </c>
      <c r="D53" s="9">
        <v>7.0190000000000001</v>
      </c>
      <c r="E53" s="19">
        <v>5.0270000000000001</v>
      </c>
      <c r="F53" s="1" t="str">
        <f>HYPERLINK("http://www.ncbi.nlm.nih.gov/pubmed/?term=Col4a1","Col4a1")</f>
        <v>Col4a1</v>
      </c>
    </row>
    <row r="54" spans="1:6" x14ac:dyDescent="0.25">
      <c r="A54" t="s">
        <v>1926</v>
      </c>
      <c r="B54" t="s">
        <v>975</v>
      </c>
      <c r="C54" s="19">
        <v>4.5039999999999996</v>
      </c>
      <c r="D54" s="19">
        <v>4.9189999999999996</v>
      </c>
      <c r="E54" s="15">
        <v>3.6890000000000001</v>
      </c>
      <c r="F54" s="1" t="str">
        <f>HYPERLINK("http://www.ncbi.nlm.nih.gov/pubmed/?term=Fzd7","Fzd7")</f>
        <v>Fzd7</v>
      </c>
    </row>
    <row r="55" spans="1:6" x14ac:dyDescent="0.25">
      <c r="A55" t="s">
        <v>342</v>
      </c>
      <c r="B55" t="s">
        <v>972</v>
      </c>
      <c r="C55" s="15">
        <v>3.665</v>
      </c>
      <c r="D55" s="15">
        <v>3.722</v>
      </c>
      <c r="E55" s="8">
        <v>0.93340000000000001</v>
      </c>
      <c r="F55" s="1" t="str">
        <f>HYPERLINK("http://www.ncbi.nlm.nih.gov/pubmed/?term=Fzd2","Fzd2")</f>
        <v>Fzd2</v>
      </c>
    </row>
    <row r="56" spans="1:6" x14ac:dyDescent="0.25">
      <c r="A56" t="s">
        <v>1884</v>
      </c>
      <c r="B56" t="s">
        <v>2000</v>
      </c>
      <c r="C56" s="43">
        <v>8.7729999999999997</v>
      </c>
      <c r="D56" s="43">
        <v>9.0190000000000001</v>
      </c>
      <c r="E56" s="9">
        <v>7.4089999999999998</v>
      </c>
      <c r="F56" s="1" t="str">
        <f>HYPERLINK("http://www.ncbi.nlm.nih.gov/pubmed/?term=Jun","Jun")</f>
        <v>Jun</v>
      </c>
    </row>
    <row r="57" spans="1:6" x14ac:dyDescent="0.25">
      <c r="A57" t="s">
        <v>688</v>
      </c>
      <c r="B57" t="s">
        <v>1134</v>
      </c>
      <c r="C57" s="19">
        <v>4.7830000000000004</v>
      </c>
      <c r="D57" s="15">
        <v>4.2050000000000001</v>
      </c>
      <c r="E57" s="37">
        <v>2.3740000000000001</v>
      </c>
      <c r="F57" s="1" t="str">
        <f>HYPERLINK("http://www.ncbi.nlm.nih.gov/pubmed/?term=Smo","Smo")</f>
        <v>Smo</v>
      </c>
    </row>
    <row r="58" spans="1:6" x14ac:dyDescent="0.25">
      <c r="A58" t="s">
        <v>1619</v>
      </c>
      <c r="B58" t="s">
        <v>1787</v>
      </c>
      <c r="C58" s="3">
        <v>6.2549999999999999</v>
      </c>
      <c r="D58" s="3">
        <v>5.7009999999999996</v>
      </c>
      <c r="E58" s="41">
        <v>3.476</v>
      </c>
      <c r="F58" s="1" t="str">
        <f>HYPERLINK("http://www.ncbi.nlm.nih.gov/pubmed/?term=Lamb1","Lamb1")</f>
        <v>Lamb1</v>
      </c>
    </row>
    <row r="59" spans="1:6" x14ac:dyDescent="0.25">
      <c r="A59" t="s">
        <v>1840</v>
      </c>
      <c r="B59" t="s">
        <v>1579</v>
      </c>
      <c r="C59" s="19">
        <v>5.0369999999999999</v>
      </c>
      <c r="D59" s="15">
        <v>4.2450000000000001</v>
      </c>
      <c r="E59" s="15">
        <v>3.851</v>
      </c>
      <c r="F59" s="1" t="str">
        <f>HYPERLINK("http://www.ncbi.nlm.nih.gov/pubmed/?term=Cdkn1b","Cdkn1b")</f>
        <v>Cdkn1b</v>
      </c>
    </row>
    <row r="60" spans="1:6" x14ac:dyDescent="0.25">
      <c r="A60" t="s">
        <v>368</v>
      </c>
      <c r="B60" t="s">
        <v>938</v>
      </c>
      <c r="C60" s="19">
        <v>4.8079999999999998</v>
      </c>
      <c r="D60" s="15">
        <v>3.8130000000000002</v>
      </c>
      <c r="E60" s="15">
        <v>3.5379999999999998</v>
      </c>
      <c r="F60" s="1" t="str">
        <f>HYPERLINK("http://www.ncbi.nlm.nih.gov/pubmed/?term=Igf1r","Igf1r")</f>
        <v>Igf1r</v>
      </c>
    </row>
    <row r="61" spans="1:6" x14ac:dyDescent="0.25">
      <c r="A61" t="s">
        <v>1223</v>
      </c>
      <c r="B61" t="s">
        <v>760</v>
      </c>
      <c r="C61" s="15">
        <v>4.4809999999999999</v>
      </c>
      <c r="D61" s="15">
        <v>3.556</v>
      </c>
      <c r="E61" s="41">
        <v>3.1720000000000002</v>
      </c>
      <c r="F61" s="1" t="str">
        <f>HYPERLINK("http://www.ncbi.nlm.nih.gov/pubmed/?term=Apc","Apc")</f>
        <v>Apc</v>
      </c>
    </row>
    <row r="62" spans="1:6" x14ac:dyDescent="0.25">
      <c r="A62" t="s">
        <v>1733</v>
      </c>
      <c r="B62" t="s">
        <v>1829</v>
      </c>
      <c r="C62" s="15">
        <v>3.9809999999999999</v>
      </c>
      <c r="D62" s="41">
        <v>3.1789999999999998</v>
      </c>
      <c r="E62" s="41">
        <v>2.843</v>
      </c>
      <c r="F62" s="1" t="str">
        <f>HYPERLINK("http://www.ncbi.nlm.nih.gov/pubmed/?term=Crkl","Crkl")</f>
        <v>Crkl</v>
      </c>
    </row>
    <row r="63" spans="1:6" x14ac:dyDescent="0.25">
      <c r="A63" t="s">
        <v>78</v>
      </c>
      <c r="B63" t="s">
        <v>1182</v>
      </c>
      <c r="C63" s="19">
        <v>4.6639999999999997</v>
      </c>
      <c r="D63" s="19">
        <v>4.6269999999999998</v>
      </c>
      <c r="E63" s="41">
        <v>2.9020000000000001</v>
      </c>
      <c r="F63" s="1" t="str">
        <f>HYPERLINK("http://www.ncbi.nlm.nih.gov/pubmed/?term=Plcg1","Plcg1")</f>
        <v>Plcg1</v>
      </c>
    </row>
    <row r="64" spans="1:6" x14ac:dyDescent="0.25">
      <c r="A64" t="s">
        <v>24</v>
      </c>
      <c r="B64" t="s">
        <v>655</v>
      </c>
      <c r="C64" s="9">
        <v>6.9450000000000003</v>
      </c>
      <c r="D64" s="3">
        <v>6.3869999999999996</v>
      </c>
      <c r="E64" s="15">
        <v>4.3650000000000002</v>
      </c>
      <c r="F64" s="1" t="str">
        <f>HYPERLINK("http://www.ncbi.nlm.nih.gov/pubmed/?term=Mmp9","Mmp9")</f>
        <v>Mmp9</v>
      </c>
    </row>
    <row r="65" spans="1:6" x14ac:dyDescent="0.25">
      <c r="A65" t="s">
        <v>641</v>
      </c>
      <c r="B65" t="s">
        <v>346</v>
      </c>
      <c r="C65" s="3">
        <v>5.5090000000000003</v>
      </c>
      <c r="D65" s="19">
        <v>4.79</v>
      </c>
      <c r="E65" s="15">
        <v>4.3810000000000002</v>
      </c>
      <c r="F65" s="1" t="str">
        <f>HYPERLINK("http://www.ncbi.nlm.nih.gov/pubmed/?term=Crk","Crk")</f>
        <v>Crk</v>
      </c>
    </row>
    <row r="66" spans="1:6" x14ac:dyDescent="0.25">
      <c r="A66" t="s">
        <v>961</v>
      </c>
      <c r="B66" t="s">
        <v>51</v>
      </c>
      <c r="C66" s="15">
        <v>4.2140000000000004</v>
      </c>
      <c r="D66" s="15">
        <v>3.5419999999999998</v>
      </c>
      <c r="E66" s="37">
        <v>2.4350000000000001</v>
      </c>
      <c r="F66" s="1" t="str">
        <f>HYPERLINK("http://www.ncbi.nlm.nih.gov/pubmed/?term=Lama4","Lama4")</f>
        <v>Lama4</v>
      </c>
    </row>
    <row r="67" spans="1:6" x14ac:dyDescent="0.25">
      <c r="A67" t="s">
        <v>1444</v>
      </c>
      <c r="B67" t="s">
        <v>1417</v>
      </c>
      <c r="C67" s="19">
        <v>4.7190000000000003</v>
      </c>
      <c r="D67" s="15">
        <v>4.1989999999999998</v>
      </c>
      <c r="E67" s="41">
        <v>2.794</v>
      </c>
      <c r="F67" s="1" t="str">
        <f>HYPERLINK("http://www.ncbi.nlm.nih.gov/pubmed/?term=Egfr","Egfr")</f>
        <v>Egfr</v>
      </c>
    </row>
    <row r="68" spans="1:6" x14ac:dyDescent="0.25">
      <c r="A68" t="s">
        <v>31</v>
      </c>
      <c r="B68" t="s">
        <v>400</v>
      </c>
      <c r="C68" s="15">
        <v>4.476</v>
      </c>
      <c r="D68" s="15">
        <v>3.5920000000000001</v>
      </c>
      <c r="E68" s="41">
        <v>3.4319999999999999</v>
      </c>
      <c r="F68" s="1" t="str">
        <f>HYPERLINK("http://www.ncbi.nlm.nih.gov/pubmed/?term=Mapk9","Mapk9")</f>
        <v>Mapk9</v>
      </c>
    </row>
    <row r="69" spans="1:6" x14ac:dyDescent="0.25">
      <c r="A69" t="s">
        <v>130</v>
      </c>
      <c r="B69" t="s">
        <v>1179</v>
      </c>
      <c r="C69" s="3">
        <v>6.399</v>
      </c>
      <c r="D69" s="3">
        <v>6.1420000000000003</v>
      </c>
      <c r="E69" s="19">
        <v>4.9630000000000001</v>
      </c>
      <c r="F69" s="1" t="str">
        <f>HYPERLINK("http://www.ncbi.nlm.nih.gov/pubmed/?term=Hif1a","Hif1a")</f>
        <v>Hif1a</v>
      </c>
    </row>
    <row r="70" spans="1:6" x14ac:dyDescent="0.25">
      <c r="A70" t="s">
        <v>2164</v>
      </c>
      <c r="B70" t="s">
        <v>677</v>
      </c>
      <c r="C70" s="15">
        <v>3.66</v>
      </c>
      <c r="D70" s="41">
        <v>2.7850000000000001</v>
      </c>
      <c r="E70" s="37">
        <v>1.671</v>
      </c>
      <c r="F70" s="1" t="str">
        <f>HYPERLINK("http://www.ncbi.nlm.nih.gov/pubmed/?term=Gli3","Gli3")</f>
        <v>Gli3</v>
      </c>
    </row>
    <row r="71" spans="1:6" x14ac:dyDescent="0.25">
      <c r="A71" t="s">
        <v>834</v>
      </c>
      <c r="B71" t="s">
        <v>1552</v>
      </c>
      <c r="C71" s="19">
        <v>4.516</v>
      </c>
      <c r="D71" s="15">
        <v>3.7549999999999999</v>
      </c>
      <c r="E71" s="41">
        <v>3.4649999999999999</v>
      </c>
      <c r="F71" s="1" t="str">
        <f>HYPERLINK("http://www.ncbi.nlm.nih.gov/pubmed/?term=Mapk8","Mapk8")</f>
        <v>Mapk8</v>
      </c>
    </row>
    <row r="72" spans="1:6" x14ac:dyDescent="0.25">
      <c r="A72" t="s">
        <v>2197</v>
      </c>
      <c r="B72" t="s">
        <v>1027</v>
      </c>
      <c r="C72" s="19">
        <v>5.4749999999999996</v>
      </c>
      <c r="D72" s="19">
        <v>5.3170000000000002</v>
      </c>
      <c r="E72" s="15">
        <v>3.907</v>
      </c>
      <c r="F72" s="1" t="str">
        <f>HYPERLINK("http://www.ncbi.nlm.nih.gov/pubmed/?term=Vegfa","Vegfa")</f>
        <v>Vegfa</v>
      </c>
    </row>
    <row r="73" spans="1:6" x14ac:dyDescent="0.25">
      <c r="A73" t="s">
        <v>1802</v>
      </c>
      <c r="B73" t="s">
        <v>1244</v>
      </c>
      <c r="C73" s="15">
        <v>4.3979999999999997</v>
      </c>
      <c r="D73" s="15">
        <v>3.976</v>
      </c>
      <c r="E73" s="41">
        <v>3.2570000000000001</v>
      </c>
      <c r="F73" s="1" t="str">
        <f>HYPERLINK("http://www.ncbi.nlm.nih.gov/pubmed/?term=Msh2","Msh2")</f>
        <v>Msh2</v>
      </c>
    </row>
    <row r="74" spans="1:6" x14ac:dyDescent="0.25">
      <c r="A74" t="s">
        <v>905</v>
      </c>
      <c r="B74" t="s">
        <v>1814</v>
      </c>
      <c r="C74" s="15">
        <v>3.7959999999999998</v>
      </c>
      <c r="D74" s="41">
        <v>3.0990000000000002</v>
      </c>
      <c r="E74" s="41">
        <v>2.85</v>
      </c>
      <c r="F74" s="1" t="str">
        <f>HYPERLINK("http://www.ncbi.nlm.nih.gov/pubmed/?term=Pias2","Pias2")</f>
        <v>Pias2</v>
      </c>
    </row>
    <row r="75" spans="1:6" x14ac:dyDescent="0.25">
      <c r="A75" t="s">
        <v>233</v>
      </c>
      <c r="B75" t="s">
        <v>1714</v>
      </c>
      <c r="C75" s="9">
        <v>6.734</v>
      </c>
      <c r="D75" s="9">
        <v>6.7110000000000003</v>
      </c>
      <c r="E75" s="19">
        <v>5.4809999999999999</v>
      </c>
      <c r="F75" s="1" t="str">
        <f>HYPERLINK("http://www.ncbi.nlm.nih.gov/pubmed/?term=Stat1","Stat1")</f>
        <v>Stat1</v>
      </c>
    </row>
    <row r="76" spans="1:6" x14ac:dyDescent="0.25">
      <c r="A76" t="s">
        <v>18</v>
      </c>
      <c r="B76" t="s">
        <v>381</v>
      </c>
      <c r="C76" s="3">
        <v>5.5979999999999999</v>
      </c>
      <c r="D76" s="41">
        <v>3.3119999999999998</v>
      </c>
      <c r="E76" s="37">
        <v>2.109</v>
      </c>
      <c r="F76" s="1" t="str">
        <f>HYPERLINK("http://www.ncbi.nlm.nih.gov/pubmed/?term=Rassf5","Rassf5")</f>
        <v>Rassf5</v>
      </c>
    </row>
    <row r="77" spans="1:6" x14ac:dyDescent="0.25">
      <c r="A77" t="s">
        <v>1211</v>
      </c>
      <c r="B77" t="s">
        <v>1946</v>
      </c>
      <c r="C77" s="3">
        <v>5.6539999999999999</v>
      </c>
      <c r="D77" s="15">
        <v>3.6970000000000001</v>
      </c>
      <c r="E77" s="37">
        <v>2.4590000000000001</v>
      </c>
      <c r="F77" s="1" t="str">
        <f>HYPERLINK("http://www.ncbi.nlm.nih.gov/pubmed/?term=Lamc1","Lamc1")</f>
        <v>Lamc1</v>
      </c>
    </row>
    <row r="78" spans="1:6" x14ac:dyDescent="0.25">
      <c r="A78" t="s">
        <v>767</v>
      </c>
      <c r="B78" t="s">
        <v>423</v>
      </c>
      <c r="C78" s="19">
        <v>4.8289999999999997</v>
      </c>
      <c r="D78" s="15">
        <v>4.407</v>
      </c>
      <c r="E78" s="41">
        <v>3.44</v>
      </c>
      <c r="F78" s="1" t="str">
        <f>HYPERLINK("http://www.ncbi.nlm.nih.gov/pubmed/?term=Abl1","Abl1")</f>
        <v>Abl1</v>
      </c>
    </row>
    <row r="79" spans="1:6" x14ac:dyDescent="0.25">
      <c r="A79" t="s">
        <v>1670</v>
      </c>
      <c r="B79" t="s">
        <v>1148</v>
      </c>
      <c r="C79" s="3">
        <v>6.226</v>
      </c>
      <c r="D79" s="3">
        <v>5.8049999999999997</v>
      </c>
      <c r="E79" s="37">
        <v>2.2450000000000001</v>
      </c>
      <c r="F79" s="1" t="str">
        <f>HYPERLINK("http://www.ncbi.nlm.nih.gov/pubmed/?term=Fgfr2","Fgfr2")</f>
        <v>Fgfr2</v>
      </c>
    </row>
    <row r="80" spans="1:6" x14ac:dyDescent="0.25">
      <c r="A80" t="s">
        <v>1544</v>
      </c>
      <c r="B80" t="s">
        <v>774</v>
      </c>
      <c r="C80" s="15">
        <v>3.528</v>
      </c>
      <c r="D80" s="8">
        <v>0.76790000000000003</v>
      </c>
      <c r="E80" s="26">
        <v>-0.55920000000000003</v>
      </c>
      <c r="F80" s="1" t="str">
        <f>HYPERLINK("http://www.ncbi.nlm.nih.gov/pubmed/?term=Col4a5","Col4a5")</f>
        <v>Col4a5</v>
      </c>
    </row>
    <row r="81" spans="1:6" x14ac:dyDescent="0.25">
      <c r="A81" t="s">
        <v>1805</v>
      </c>
      <c r="B81" t="s">
        <v>781</v>
      </c>
      <c r="C81" s="9">
        <v>6.66</v>
      </c>
      <c r="D81" s="3">
        <v>6.1059999999999999</v>
      </c>
      <c r="E81" s="15">
        <v>4.1219999999999999</v>
      </c>
      <c r="F81" s="1" t="str">
        <f>HYPERLINK("http://www.ncbi.nlm.nih.gov/pubmed/?term=Col4a2","Col4a2")</f>
        <v>Col4a2</v>
      </c>
    </row>
    <row r="82" spans="1:6" x14ac:dyDescent="0.25">
      <c r="A82" t="s">
        <v>243</v>
      </c>
      <c r="B82" t="s">
        <v>659</v>
      </c>
      <c r="C82" s="3">
        <v>6.2309999999999999</v>
      </c>
      <c r="D82" s="41">
        <v>3.367</v>
      </c>
      <c r="E82" s="26">
        <v>-0.86029999999999995</v>
      </c>
      <c r="F82" s="1" t="str">
        <f>HYPERLINK("http://www.ncbi.nlm.nih.gov/pubmed/?term=Mmp2","Mmp2")</f>
        <v>Mmp2</v>
      </c>
    </row>
    <row r="83" spans="1:6" x14ac:dyDescent="0.25">
      <c r="A83" t="s">
        <v>1205</v>
      </c>
      <c r="B83" t="s">
        <v>1329</v>
      </c>
      <c r="C83" s="3">
        <v>5.6820000000000004</v>
      </c>
      <c r="D83" s="19">
        <v>5.0220000000000002</v>
      </c>
      <c r="E83" s="19">
        <v>4.7060000000000004</v>
      </c>
      <c r="F83" s="1" t="str">
        <f>HYPERLINK("http://www.ncbi.nlm.nih.gov/pubmed/?term=Pik3r2","Pik3r2")</f>
        <v>Pik3r2</v>
      </c>
    </row>
    <row r="84" spans="1:6" x14ac:dyDescent="0.25">
      <c r="A84" t="s">
        <v>650</v>
      </c>
      <c r="B84" t="s">
        <v>2046</v>
      </c>
      <c r="C84" s="19">
        <v>4.5739999999999998</v>
      </c>
      <c r="D84" s="37">
        <v>2.1139999999999999</v>
      </c>
      <c r="E84" s="26">
        <v>-0.61719999999999997</v>
      </c>
      <c r="F84" s="1" t="str">
        <f>HYPERLINK("http://www.ncbi.nlm.nih.gov/pubmed/?term=Tgfbr2","Tgfbr2")</f>
        <v>Tgfbr2</v>
      </c>
    </row>
    <row r="85" spans="1:6" x14ac:dyDescent="0.25">
      <c r="A85" t="s">
        <v>462</v>
      </c>
      <c r="B85" t="s">
        <v>1632</v>
      </c>
      <c r="C85" s="15">
        <v>4.3159999999999998</v>
      </c>
      <c r="D85" s="15">
        <v>4.149</v>
      </c>
      <c r="E85" s="41">
        <v>3.0350000000000001</v>
      </c>
      <c r="F85" s="1" t="str">
        <f>HYPERLINK("http://www.ncbi.nlm.nih.gov/pubmed/?term=Egln3","Egln3")</f>
        <v>Egln3</v>
      </c>
    </row>
    <row r="86" spans="1:6" x14ac:dyDescent="0.25">
      <c r="A86" t="s">
        <v>1721</v>
      </c>
      <c r="B86" t="s">
        <v>460</v>
      </c>
      <c r="C86" s="9">
        <v>6.5250000000000004</v>
      </c>
      <c r="D86" s="19">
        <v>4.6449999999999996</v>
      </c>
      <c r="E86" s="41">
        <v>3.2810000000000001</v>
      </c>
      <c r="F86" s="1" t="str">
        <f>HYPERLINK("http://www.ncbi.nlm.nih.gov/pubmed/?term=Wnt4","Wnt4")</f>
        <v>Wnt4</v>
      </c>
    </row>
    <row r="87" spans="1:6" x14ac:dyDescent="0.25">
      <c r="A87" t="s">
        <v>731</v>
      </c>
      <c r="B87" t="s">
        <v>1330</v>
      </c>
      <c r="C87" s="19">
        <v>4.9180000000000001</v>
      </c>
      <c r="D87" s="19">
        <v>4.8079999999999998</v>
      </c>
      <c r="E87" s="15">
        <v>3.7410000000000001</v>
      </c>
      <c r="F87" s="1" t="str">
        <f>HYPERLINK("http://www.ncbi.nlm.nih.gov/pubmed/?term=Pik3r1","Pik3r1")</f>
        <v>Pik3r1</v>
      </c>
    </row>
    <row r="88" spans="1:6" x14ac:dyDescent="0.25">
      <c r="A88" t="s">
        <v>414</v>
      </c>
      <c r="B88" t="s">
        <v>236</v>
      </c>
      <c r="C88" s="41">
        <v>3.4340000000000002</v>
      </c>
      <c r="D88" s="8">
        <v>1.3480000000000001</v>
      </c>
      <c r="E88" s="8">
        <v>0.87639999999999996</v>
      </c>
      <c r="F88" s="1" t="str">
        <f>HYPERLINK("http://www.ncbi.nlm.nih.gov/pubmed/?term=Fgf11","Fgf11")</f>
        <v>Fgf11</v>
      </c>
    </row>
    <row r="89" spans="1:6" x14ac:dyDescent="0.25">
      <c r="A89" t="s">
        <v>1473</v>
      </c>
      <c r="B89" t="s">
        <v>103</v>
      </c>
      <c r="C89" s="15">
        <v>3.7480000000000002</v>
      </c>
      <c r="D89" s="41">
        <v>3.06</v>
      </c>
      <c r="E89" s="37">
        <v>2.0840000000000001</v>
      </c>
      <c r="F89" s="1" t="str">
        <f>HYPERLINK("http://www.ncbi.nlm.nih.gov/pubmed/?term=Foxo1","Foxo1")</f>
        <v>Foxo1</v>
      </c>
    </row>
    <row r="90" spans="1:6" x14ac:dyDescent="0.25">
      <c r="A90" t="s">
        <v>2005</v>
      </c>
      <c r="B90" t="s">
        <v>812</v>
      </c>
      <c r="C90" s="3">
        <v>6.1029999999999998</v>
      </c>
      <c r="D90" s="15">
        <v>4.2329999999999997</v>
      </c>
      <c r="E90" s="15">
        <v>3.8620000000000001</v>
      </c>
      <c r="F90" s="1" t="str">
        <f>HYPERLINK("http://www.ncbi.nlm.nih.gov/pubmed/?term=Ccdc6","Ccdc6")</f>
        <v>Ccdc6</v>
      </c>
    </row>
    <row r="91" spans="1:6" x14ac:dyDescent="0.25">
      <c r="A91" t="s">
        <v>2024</v>
      </c>
      <c r="B91" t="s">
        <v>15</v>
      </c>
      <c r="C91" s="15">
        <v>3.827</v>
      </c>
      <c r="D91" s="41">
        <v>2.8050000000000002</v>
      </c>
      <c r="E91" s="37">
        <v>2.2109999999999999</v>
      </c>
      <c r="F91" s="1" t="str">
        <f>HYPERLINK("http://www.ncbi.nlm.nih.gov/pubmed/?term=Bcl2","Bcl2")</f>
        <v>Bcl2</v>
      </c>
    </row>
    <row r="92" spans="1:6" x14ac:dyDescent="0.25">
      <c r="A92" t="s">
        <v>969</v>
      </c>
      <c r="B92" t="s">
        <v>1633</v>
      </c>
      <c r="C92" s="19">
        <v>5.3289999999999997</v>
      </c>
      <c r="D92" s="15">
        <v>4.45</v>
      </c>
      <c r="E92" s="15">
        <v>3.8639999999999999</v>
      </c>
      <c r="F92" s="1" t="str">
        <f>HYPERLINK("http://www.ncbi.nlm.nih.gov/pubmed/?term=Egln2","Egln2")</f>
        <v>Egln2</v>
      </c>
    </row>
    <row r="93" spans="1:6" x14ac:dyDescent="0.25">
      <c r="A93" t="s">
        <v>55</v>
      </c>
      <c r="B93" t="s">
        <v>1869</v>
      </c>
      <c r="C93" s="3">
        <v>5.766</v>
      </c>
      <c r="D93" s="37">
        <v>2.11</v>
      </c>
      <c r="E93" s="3">
        <v>5.819</v>
      </c>
      <c r="F93" s="1" t="str">
        <f>HYPERLINK("http://www.ncbi.nlm.nih.gov/pubmed/?term=Tcf7","Tcf7")</f>
        <v>Tcf7</v>
      </c>
    </row>
    <row r="94" spans="1:6" x14ac:dyDescent="0.25">
      <c r="A94" t="s">
        <v>1459</v>
      </c>
      <c r="B94" t="s">
        <v>473</v>
      </c>
      <c r="C94" s="41">
        <v>3.3570000000000002</v>
      </c>
      <c r="D94" s="41">
        <v>2.609</v>
      </c>
      <c r="E94" s="15">
        <v>3.7639999999999998</v>
      </c>
      <c r="F94" s="1" t="str">
        <f>HYPERLINK("http://www.ncbi.nlm.nih.gov/pubmed/?term=Tgfb1","Tgfb1")</f>
        <v>Tgfb1</v>
      </c>
    </row>
    <row r="95" spans="1:6" x14ac:dyDescent="0.25">
      <c r="A95" t="s">
        <v>807</v>
      </c>
      <c r="B95" t="s">
        <v>1950</v>
      </c>
      <c r="C95" s="19">
        <v>5.1239999999999997</v>
      </c>
      <c r="D95" s="41">
        <v>3.4119999999999999</v>
      </c>
      <c r="E95" s="19">
        <v>5.2290000000000001</v>
      </c>
      <c r="F95" s="1" t="str">
        <f>HYPERLINK("http://www.ncbi.nlm.nih.gov/pubmed/?term=Rac3","Rac3")</f>
        <v>Rac3</v>
      </c>
    </row>
    <row r="96" spans="1:6" x14ac:dyDescent="0.25">
      <c r="A96" t="s">
        <v>133</v>
      </c>
      <c r="B96" t="s">
        <v>1453</v>
      </c>
      <c r="C96" s="19">
        <v>4.9180000000000001</v>
      </c>
      <c r="D96" s="19">
        <v>4.5679999999999996</v>
      </c>
      <c r="E96" s="3">
        <v>5.891</v>
      </c>
      <c r="F96" s="1" t="str">
        <f>HYPERLINK("http://www.ncbi.nlm.nih.gov/pubmed/?term=Mdm2","Mdm2")</f>
        <v>Mdm2</v>
      </c>
    </row>
    <row r="97" spans="1:6" x14ac:dyDescent="0.25">
      <c r="A97" t="s">
        <v>1177</v>
      </c>
      <c r="B97" t="s">
        <v>711</v>
      </c>
      <c r="C97" s="41">
        <v>3.2429999999999999</v>
      </c>
      <c r="D97" s="41">
        <v>2.9780000000000002</v>
      </c>
      <c r="E97" s="19">
        <v>4.7270000000000003</v>
      </c>
      <c r="F97" s="1" t="str">
        <f>HYPERLINK("http://www.ncbi.nlm.nih.gov/pubmed/?term=Stat5b","Stat5b")</f>
        <v>Stat5b</v>
      </c>
    </row>
    <row r="98" spans="1:6" x14ac:dyDescent="0.25">
      <c r="A98" t="s">
        <v>1852</v>
      </c>
      <c r="B98" t="s">
        <v>1070</v>
      </c>
      <c r="C98" s="39">
        <v>7.577</v>
      </c>
      <c r="D98" s="39">
        <v>7.5250000000000004</v>
      </c>
      <c r="E98" s="43">
        <v>9.6739999999999995</v>
      </c>
      <c r="F98" s="1" t="str">
        <f>HYPERLINK("http://www.ncbi.nlm.nih.gov/pubmed/?term=Nfkbia","Nfkbia")</f>
        <v>Nfkbia</v>
      </c>
    </row>
    <row r="99" spans="1:6" x14ac:dyDescent="0.25">
      <c r="A99" t="s">
        <v>529</v>
      </c>
      <c r="B99" t="s">
        <v>1321</v>
      </c>
      <c r="C99" s="41">
        <v>3.3559999999999999</v>
      </c>
      <c r="D99" s="41">
        <v>3.198</v>
      </c>
      <c r="E99" s="19">
        <v>5.0339999999999998</v>
      </c>
      <c r="F99" s="1" t="str">
        <f>HYPERLINK("http://www.ncbi.nlm.nih.gov/pubmed/?term=Traf6","Traf6")</f>
        <v>Traf6</v>
      </c>
    </row>
    <row r="100" spans="1:6" x14ac:dyDescent="0.25">
      <c r="A100" t="s">
        <v>1880</v>
      </c>
      <c r="B100" t="s">
        <v>1077</v>
      </c>
      <c r="C100" s="15">
        <v>3.6549999999999998</v>
      </c>
      <c r="D100" s="41">
        <v>3.3140000000000001</v>
      </c>
      <c r="E100" s="3">
        <v>6.2270000000000003</v>
      </c>
      <c r="F100" s="1" t="str">
        <f>HYPERLINK("http://www.ncbi.nlm.nih.gov/pubmed/?term=Prkca","Prkca")</f>
        <v>Prkca</v>
      </c>
    </row>
    <row r="101" spans="1:6" x14ac:dyDescent="0.25">
      <c r="A101" t="s">
        <v>427</v>
      </c>
      <c r="B101" t="s">
        <v>1234</v>
      </c>
      <c r="C101" s="19">
        <v>5.4820000000000002</v>
      </c>
      <c r="D101" s="19">
        <v>5.2619999999999996</v>
      </c>
      <c r="E101" s="3">
        <v>6.2539999999999996</v>
      </c>
      <c r="F101" s="1" t="str">
        <f>HYPERLINK("http://www.ncbi.nlm.nih.gov/pubmed/?term=Birc2","Birc2")</f>
        <v>Birc2</v>
      </c>
    </row>
    <row r="102" spans="1:6" x14ac:dyDescent="0.25">
      <c r="A102" t="s">
        <v>254</v>
      </c>
      <c r="B102" t="s">
        <v>361</v>
      </c>
      <c r="C102" s="19">
        <v>4.6449999999999996</v>
      </c>
      <c r="D102" s="15">
        <v>3.7330000000000001</v>
      </c>
      <c r="E102" s="19">
        <v>4.7910000000000004</v>
      </c>
      <c r="F102" s="1" t="str">
        <f>HYPERLINK("http://www.ncbi.nlm.nih.gov/pubmed/?term=Cks2","Cks2")</f>
        <v>Cks2</v>
      </c>
    </row>
    <row r="103" spans="1:6" x14ac:dyDescent="0.25">
      <c r="A103" t="s">
        <v>159</v>
      </c>
      <c r="B103" t="s">
        <v>1644</v>
      </c>
      <c r="C103" s="9">
        <v>6.5579999999999998</v>
      </c>
      <c r="D103" s="19">
        <v>4.7640000000000002</v>
      </c>
      <c r="E103" s="19">
        <v>5.4039999999999999</v>
      </c>
      <c r="F103" s="1" t="str">
        <f>HYPERLINK("http://www.ncbi.nlm.nih.gov/pubmed/?term=Map2k1","Map2k1")</f>
        <v>Map2k1</v>
      </c>
    </row>
    <row r="104" spans="1:6" x14ac:dyDescent="0.25">
      <c r="A104" t="s">
        <v>851</v>
      </c>
      <c r="B104" t="s">
        <v>2092</v>
      </c>
      <c r="C104" s="19">
        <v>5.4390000000000001</v>
      </c>
      <c r="D104" s="8">
        <v>0.98350000000000004</v>
      </c>
      <c r="E104" s="41">
        <v>3.3889999999999998</v>
      </c>
      <c r="F104" s="1" t="str">
        <f>HYPERLINK("http://www.ncbi.nlm.nih.gov/pubmed/?term=Kitl","Kitl")</f>
        <v>Kitl</v>
      </c>
    </row>
    <row r="105" spans="1:6" x14ac:dyDescent="0.25">
      <c r="A105" t="s">
        <v>920</v>
      </c>
      <c r="B105" t="s">
        <v>239</v>
      </c>
      <c r="C105" s="9">
        <v>6.7590000000000003</v>
      </c>
      <c r="D105" s="37">
        <v>1.976</v>
      </c>
      <c r="E105" s="15">
        <v>3.9089999999999998</v>
      </c>
      <c r="F105" s="1" t="str">
        <f>HYPERLINK("http://www.ncbi.nlm.nih.gov/pubmed/?term=Fgf14","Fgf14")</f>
        <v>Fgf14</v>
      </c>
    </row>
    <row r="106" spans="1:6" x14ac:dyDescent="0.25">
      <c r="A106" t="s">
        <v>1029</v>
      </c>
      <c r="B106" t="s">
        <v>1277</v>
      </c>
      <c r="C106" s="9">
        <v>6.9329999999999998</v>
      </c>
      <c r="D106" s="41">
        <v>3.0720000000000001</v>
      </c>
      <c r="E106" s="15">
        <v>4.2380000000000004</v>
      </c>
      <c r="F106" s="1" t="str">
        <f>HYPERLINK("http://www.ncbi.nlm.nih.gov/pubmed/?term=Fn1","Fn1")</f>
        <v>Fn1</v>
      </c>
    </row>
    <row r="107" spans="1:6" x14ac:dyDescent="0.25">
      <c r="A107" t="s">
        <v>1289</v>
      </c>
      <c r="B107" t="s">
        <v>2001</v>
      </c>
      <c r="C107" s="19">
        <v>4.7679999999999998</v>
      </c>
      <c r="D107" s="41">
        <v>2.8929999999999998</v>
      </c>
      <c r="E107" s="41">
        <v>3.339</v>
      </c>
      <c r="F107" s="1" t="str">
        <f>HYPERLINK("http://www.ncbi.nlm.nih.gov/pubmed/?term=Smad3","Smad3")</f>
        <v>Smad3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1664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2016</v>
      </c>
      <c r="B5" t="s">
        <v>1464</v>
      </c>
      <c r="C5" s="26">
        <v>-0.25159999999999999</v>
      </c>
      <c r="D5" s="5">
        <v>4.952</v>
      </c>
      <c r="E5" s="30">
        <v>0.69540000000000002</v>
      </c>
      <c r="F5" s="1" t="str">
        <f>HYPERLINK("http://www.ncbi.nlm.nih.gov/pubmed/?term=Pik3cg","Pik3cg")</f>
        <v>Pik3cg</v>
      </c>
    </row>
    <row r="6" spans="1:6" x14ac:dyDescent="0.25">
      <c r="A6" t="s">
        <v>1335</v>
      </c>
      <c r="B6" t="s">
        <v>1328</v>
      </c>
      <c r="C6" s="30">
        <v>0.53520000000000001</v>
      </c>
      <c r="D6" s="31">
        <v>5.8090000000000002</v>
      </c>
      <c r="E6" s="50">
        <v>2.5489999999999999</v>
      </c>
      <c r="F6" s="1" t="str">
        <f>HYPERLINK("http://www.ncbi.nlm.nih.gov/pubmed/?term=Pik3r5","Pik3r5")</f>
        <v>Pik3r5</v>
      </c>
    </row>
    <row r="7" spans="1:6" x14ac:dyDescent="0.25">
      <c r="A7" t="s">
        <v>1748</v>
      </c>
      <c r="B7" t="s">
        <v>45</v>
      </c>
      <c r="C7" s="26">
        <v>-4.4480000000000004</v>
      </c>
      <c r="D7" s="44">
        <v>3.7269999999999999</v>
      </c>
      <c r="E7" s="26">
        <v>-0.52180000000000004</v>
      </c>
      <c r="F7" s="1" t="str">
        <f>HYPERLINK("http://www.ncbi.nlm.nih.gov/pubmed/?term=Adcy2","Adcy2")</f>
        <v>Adcy2</v>
      </c>
    </row>
    <row r="8" spans="1:6" x14ac:dyDescent="0.25">
      <c r="A8" t="s">
        <v>1208</v>
      </c>
      <c r="B8" t="s">
        <v>587</v>
      </c>
      <c r="C8" s="44">
        <v>3.6619999999999999</v>
      </c>
      <c r="D8" s="31">
        <v>5.7629999999999999</v>
      </c>
      <c r="E8" s="44">
        <v>4.4850000000000003</v>
      </c>
      <c r="F8" s="1" t="str">
        <f>HYPERLINK("http://www.ncbi.nlm.nih.gov/pubmed/?term=H2-T22","H2-T22")</f>
        <v>H2-T22</v>
      </c>
    </row>
    <row r="9" spans="1:6" x14ac:dyDescent="0.25">
      <c r="A9" t="s">
        <v>853</v>
      </c>
      <c r="B9" t="s">
        <v>1990</v>
      </c>
      <c r="C9" s="26">
        <v>2.0140000000000002E-2</v>
      </c>
      <c r="D9" s="5">
        <v>5.3710000000000004</v>
      </c>
      <c r="E9" s="44">
        <v>4.4320000000000004</v>
      </c>
      <c r="F9" s="1" t="str">
        <f>HYPERLINK("http://www.ncbi.nlm.nih.gov/pubmed/?term=Ccnd1","Ccnd1")</f>
        <v>Ccnd1</v>
      </c>
    </row>
    <row r="10" spans="1:6" x14ac:dyDescent="0.25">
      <c r="A10" t="s">
        <v>85</v>
      </c>
      <c r="B10" t="s">
        <v>1966</v>
      </c>
      <c r="C10" s="5">
        <v>4.7370000000000001</v>
      </c>
      <c r="D10" s="6">
        <v>8.1150000000000002</v>
      </c>
      <c r="E10" s="6">
        <v>7.9050000000000002</v>
      </c>
      <c r="F10" s="1" t="str">
        <f>HYPERLINK("http://www.ncbi.nlm.nih.gov/pubmed/?term=H2-Q6","H2-Q6")</f>
        <v>H2-Q6</v>
      </c>
    </row>
    <row r="11" spans="1:6" x14ac:dyDescent="0.25">
      <c r="A11" t="s">
        <v>1657</v>
      </c>
      <c r="B11" t="s">
        <v>1991</v>
      </c>
      <c r="C11" s="5">
        <v>5.4219999999999997</v>
      </c>
      <c r="D11" s="5">
        <v>5.4290000000000003</v>
      </c>
      <c r="E11" s="35">
        <v>6.6429999999999998</v>
      </c>
      <c r="F11" s="1" t="str">
        <f>HYPERLINK("http://www.ncbi.nlm.nih.gov/pubmed/?term=Ccnd2","Ccnd2")</f>
        <v>Ccnd2</v>
      </c>
    </row>
    <row r="12" spans="1:6" x14ac:dyDescent="0.25">
      <c r="A12" t="s">
        <v>1790</v>
      </c>
      <c r="B12" t="s">
        <v>580</v>
      </c>
      <c r="C12" s="31">
        <v>5.5129999999999999</v>
      </c>
      <c r="D12" s="31">
        <v>5.7859999999999996</v>
      </c>
      <c r="E12" s="35">
        <v>7.468</v>
      </c>
      <c r="F12" s="1" t="str">
        <f>HYPERLINK("http://www.ncbi.nlm.nih.gov/pubmed/?term=Relb","Relb")</f>
        <v>Relb</v>
      </c>
    </row>
    <row r="13" spans="1:6" x14ac:dyDescent="0.25">
      <c r="A13" t="s">
        <v>234</v>
      </c>
      <c r="B13" t="s">
        <v>799</v>
      </c>
      <c r="C13" s="6">
        <v>8.0500000000000007</v>
      </c>
      <c r="D13" s="6">
        <v>8.2680000000000007</v>
      </c>
      <c r="E13" s="34">
        <v>9.3420000000000005</v>
      </c>
      <c r="F13" s="1" t="str">
        <f>HYPERLINK("http://www.ncbi.nlm.nih.gov/pubmed/?term=Calr","Calr")</f>
        <v>Calr</v>
      </c>
    </row>
    <row r="14" spans="1:6" x14ac:dyDescent="0.25">
      <c r="A14" t="s">
        <v>538</v>
      </c>
      <c r="B14" t="s">
        <v>1263</v>
      </c>
      <c r="C14" s="5">
        <v>5.3659999999999997</v>
      </c>
      <c r="D14" s="5">
        <v>5.4429999999999996</v>
      </c>
      <c r="E14" s="35">
        <v>7.1589999999999998</v>
      </c>
      <c r="F14" s="1" t="str">
        <f>HYPERLINK("http://www.ncbi.nlm.nih.gov/pubmed/?term=Bax","Bax")</f>
        <v>Bax</v>
      </c>
    </row>
    <row r="15" spans="1:6" x14ac:dyDescent="0.25">
      <c r="A15" t="s">
        <v>389</v>
      </c>
      <c r="B15" t="s">
        <v>712</v>
      </c>
      <c r="C15" s="4">
        <v>2.3450000000000002</v>
      </c>
      <c r="D15" s="31">
        <v>5.5529999999999999</v>
      </c>
      <c r="E15" s="35">
        <v>6.5759999999999996</v>
      </c>
      <c r="F15" s="1" t="str">
        <f>HYPERLINK("http://www.ncbi.nlm.nih.gov/pubmed/?term=Stat5a","Stat5a")</f>
        <v>Stat5a</v>
      </c>
    </row>
    <row r="16" spans="1:6" x14ac:dyDescent="0.25">
      <c r="A16" t="s">
        <v>1237</v>
      </c>
      <c r="B16" t="s">
        <v>1139</v>
      </c>
      <c r="C16" s="44">
        <v>4.141</v>
      </c>
      <c r="D16" s="44">
        <v>4.1669999999999998</v>
      </c>
      <c r="E16" s="35">
        <v>6.782</v>
      </c>
      <c r="F16" s="1" t="str">
        <f>HYPERLINK("http://www.ncbi.nlm.nih.gov/pubmed/?term=Bcl2l1","Bcl2l1")</f>
        <v>Bcl2l1</v>
      </c>
    </row>
    <row r="17" spans="1:6" x14ac:dyDescent="0.25">
      <c r="A17" t="s">
        <v>1888</v>
      </c>
      <c r="B17" t="s">
        <v>2061</v>
      </c>
      <c r="C17" s="50">
        <v>3.4020000000000001</v>
      </c>
      <c r="D17" s="44">
        <v>3.7090000000000001</v>
      </c>
      <c r="E17" s="44">
        <v>4.3440000000000003</v>
      </c>
      <c r="F17" s="1" t="str">
        <f>HYPERLINK("http://www.ncbi.nlm.nih.gov/pubmed/?term=Vac14","Vac14")</f>
        <v>Vac14</v>
      </c>
    </row>
    <row r="18" spans="1:6" x14ac:dyDescent="0.25">
      <c r="A18" t="s">
        <v>926</v>
      </c>
      <c r="B18" t="s">
        <v>1104</v>
      </c>
      <c r="C18" s="44">
        <v>3.8570000000000002</v>
      </c>
      <c r="D18" s="5">
        <v>4.992</v>
      </c>
      <c r="E18" s="31">
        <v>5.6529999999999996</v>
      </c>
      <c r="F18" s="1" t="str">
        <f>HYPERLINK("http://www.ncbi.nlm.nih.gov/pubmed/?term=H2-M3","H2-M3")</f>
        <v>H2-M3</v>
      </c>
    </row>
    <row r="19" spans="1:6" x14ac:dyDescent="0.25">
      <c r="A19" t="s">
        <v>1861</v>
      </c>
      <c r="B19" t="s">
        <v>1105</v>
      </c>
      <c r="C19" s="44">
        <v>4.3949999999999996</v>
      </c>
      <c r="D19" s="35">
        <v>6.8019999999999996</v>
      </c>
      <c r="E19" s="35">
        <v>7.444</v>
      </c>
      <c r="F19" s="1" t="str">
        <f>HYPERLINK("http://www.ncbi.nlm.nih.gov/pubmed/?term=H2-M2","H2-M2")</f>
        <v>H2-M2</v>
      </c>
    </row>
    <row r="20" spans="1:6" x14ac:dyDescent="0.25">
      <c r="A20" t="s">
        <v>468</v>
      </c>
      <c r="B20" t="s">
        <v>596</v>
      </c>
      <c r="C20" s="4">
        <v>2.3919999999999999</v>
      </c>
      <c r="D20" s="50">
        <v>2.726</v>
      </c>
      <c r="E20" s="5">
        <v>4.7569999999999997</v>
      </c>
      <c r="F20" s="1" t="str">
        <f>HYPERLINK("http://www.ncbi.nlm.nih.gov/pubmed/?term=Map3k1","Map3k1")</f>
        <v>Map3k1</v>
      </c>
    </row>
    <row r="21" spans="1:6" x14ac:dyDescent="0.25">
      <c r="A21" t="s">
        <v>1282</v>
      </c>
      <c r="B21" t="s">
        <v>1635</v>
      </c>
      <c r="C21" s="26">
        <v>-1.7629999999999999</v>
      </c>
      <c r="D21" s="50">
        <v>3.2189999999999999</v>
      </c>
      <c r="E21" s="5">
        <v>5.327</v>
      </c>
      <c r="F21" s="1" t="str">
        <f>HYPERLINK("http://www.ncbi.nlm.nih.gov/pubmed/?term=Wnt10b","Wnt10b")</f>
        <v>Wnt10b</v>
      </c>
    </row>
    <row r="22" spans="1:6" x14ac:dyDescent="0.25">
      <c r="A22" t="s">
        <v>567</v>
      </c>
      <c r="B22" t="s">
        <v>1580</v>
      </c>
      <c r="C22" s="44">
        <v>3.569</v>
      </c>
      <c r="D22" s="31">
        <v>5.556</v>
      </c>
      <c r="E22" s="31">
        <v>6.1470000000000002</v>
      </c>
      <c r="F22" s="1" t="str">
        <f>HYPERLINK("http://www.ncbi.nlm.nih.gov/pubmed/?term=Cdkn1a","Cdkn1a")</f>
        <v>Cdkn1a</v>
      </c>
    </row>
    <row r="23" spans="1:6" x14ac:dyDescent="0.25">
      <c r="A23" t="s">
        <v>656</v>
      </c>
      <c r="B23" t="s">
        <v>1049</v>
      </c>
      <c r="C23" s="26">
        <v>-1.929</v>
      </c>
      <c r="D23" s="30">
        <v>0.65049999999999997</v>
      </c>
      <c r="E23" s="44">
        <v>4.242</v>
      </c>
      <c r="F23" s="1" t="str">
        <f>HYPERLINK("http://www.ncbi.nlm.nih.gov/pubmed/?term=Tnf","Tnf")</f>
        <v>Tnf</v>
      </c>
    </row>
    <row r="24" spans="1:6" x14ac:dyDescent="0.25">
      <c r="A24" t="s">
        <v>2134</v>
      </c>
      <c r="B24" t="s">
        <v>178</v>
      </c>
      <c r="C24" s="50">
        <v>2.87</v>
      </c>
      <c r="D24" s="44">
        <v>3.5859999999999999</v>
      </c>
      <c r="E24" s="44">
        <v>4.1440000000000001</v>
      </c>
      <c r="F24" s="1" t="str">
        <f>HYPERLINK("http://www.ncbi.nlm.nih.gov/pubmed/?term=Pold4","Pold4")</f>
        <v>Pold4</v>
      </c>
    </row>
    <row r="25" spans="1:6" x14ac:dyDescent="0.25">
      <c r="A25" t="s">
        <v>1851</v>
      </c>
      <c r="B25" t="s">
        <v>1249</v>
      </c>
      <c r="C25" s="31">
        <v>6.2190000000000003</v>
      </c>
      <c r="D25" s="31">
        <v>6.3710000000000004</v>
      </c>
      <c r="E25" s="6">
        <v>7.9530000000000003</v>
      </c>
      <c r="F25" s="1" t="str">
        <f>HYPERLINK("http://www.ncbi.nlm.nih.gov/pubmed/?term=Nfkb2","Nfkb2")</f>
        <v>Nfkb2</v>
      </c>
    </row>
    <row r="26" spans="1:6" x14ac:dyDescent="0.25">
      <c r="A26" t="s">
        <v>2023</v>
      </c>
      <c r="B26" t="s">
        <v>897</v>
      </c>
      <c r="C26" s="44">
        <v>4.37</v>
      </c>
      <c r="D26" s="5">
        <v>5.0970000000000004</v>
      </c>
      <c r="E26" s="5">
        <v>5.4119999999999999</v>
      </c>
      <c r="F26" s="1" t="str">
        <f>HYPERLINK("http://www.ncbi.nlm.nih.gov/pubmed/?term=Hras1","Hras1")</f>
        <v>Hras1</v>
      </c>
    </row>
    <row r="27" spans="1:6" x14ac:dyDescent="0.25">
      <c r="A27" t="s">
        <v>1520</v>
      </c>
      <c r="B27" t="s">
        <v>1718</v>
      </c>
      <c r="C27" s="4">
        <v>1.5840000000000001</v>
      </c>
      <c r="D27" s="44">
        <v>4.38</v>
      </c>
      <c r="E27" s="5">
        <v>5.3470000000000004</v>
      </c>
      <c r="F27" s="1" t="str">
        <f>HYPERLINK("http://www.ncbi.nlm.nih.gov/pubmed/?term=Il1r2","Il1r2")</f>
        <v>Il1r2</v>
      </c>
    </row>
    <row r="28" spans="1:6" x14ac:dyDescent="0.25">
      <c r="A28" t="s">
        <v>551</v>
      </c>
      <c r="B28" t="s">
        <v>1634</v>
      </c>
      <c r="C28" s="26">
        <v>-2.3820000000000001</v>
      </c>
      <c r="D28" s="50">
        <v>3.0019999999999998</v>
      </c>
      <c r="E28" s="44">
        <v>4.1829999999999998</v>
      </c>
      <c r="F28" s="1" t="str">
        <f>HYPERLINK("http://www.ncbi.nlm.nih.gov/pubmed/?term=Wnt10a","Wnt10a")</f>
        <v>Wnt10a</v>
      </c>
    </row>
    <row r="29" spans="1:6" x14ac:dyDescent="0.25">
      <c r="A29" t="s">
        <v>375</v>
      </c>
      <c r="B29" t="s">
        <v>741</v>
      </c>
      <c r="C29" s="4">
        <v>1.6140000000000001</v>
      </c>
      <c r="D29" s="44">
        <v>3.7189999999999999</v>
      </c>
      <c r="E29" s="44">
        <v>4.2270000000000003</v>
      </c>
      <c r="F29" s="1" t="str">
        <f>HYPERLINK("http://www.ncbi.nlm.nih.gov/pubmed/?term=Il2ra","Il2ra")</f>
        <v>Il2ra</v>
      </c>
    </row>
    <row r="30" spans="1:6" x14ac:dyDescent="0.25">
      <c r="A30" t="s">
        <v>842</v>
      </c>
      <c r="B30" t="s">
        <v>1041</v>
      </c>
      <c r="C30" s="26">
        <v>6.5780000000000005E-2</v>
      </c>
      <c r="D30" s="50">
        <v>2.7519999999999998</v>
      </c>
      <c r="E30" s="5">
        <v>4.6470000000000002</v>
      </c>
      <c r="F30" s="1" t="str">
        <f>HYPERLINK("http://www.ncbi.nlm.nih.gov/pubmed/?term=Nfatc2","Nfatc2")</f>
        <v>Nfatc2</v>
      </c>
    </row>
    <row r="31" spans="1:6" x14ac:dyDescent="0.25">
      <c r="A31" t="s">
        <v>1418</v>
      </c>
      <c r="B31" t="s">
        <v>1059</v>
      </c>
      <c r="C31" s="4">
        <v>2.3279999999999998</v>
      </c>
      <c r="D31" s="50">
        <v>2.6059999999999999</v>
      </c>
      <c r="E31" s="44">
        <v>4.0709999999999997</v>
      </c>
      <c r="F31" s="1" t="str">
        <f>HYPERLINK("http://www.ncbi.nlm.nih.gov/pubmed/?term=Cdkn2c","Cdkn2c")</f>
        <v>Cdkn2c</v>
      </c>
    </row>
    <row r="32" spans="1:6" x14ac:dyDescent="0.25">
      <c r="A32" t="s">
        <v>441</v>
      </c>
      <c r="B32" t="s">
        <v>1931</v>
      </c>
      <c r="C32" s="50">
        <v>3.1080000000000001</v>
      </c>
      <c r="D32" s="44">
        <v>3.96</v>
      </c>
      <c r="E32" s="44">
        <v>4.4850000000000003</v>
      </c>
      <c r="F32" s="1" t="str">
        <f>HYPERLINK("http://www.ncbi.nlm.nih.gov/pubmed/?term=Slc2a1","Slc2a1")</f>
        <v>Slc2a1</v>
      </c>
    </row>
    <row r="33" spans="1:6" x14ac:dyDescent="0.25">
      <c r="A33" t="s">
        <v>1200</v>
      </c>
      <c r="B33" t="s">
        <v>295</v>
      </c>
      <c r="C33" s="4">
        <v>1.873</v>
      </c>
      <c r="D33" s="4">
        <v>1.946</v>
      </c>
      <c r="E33" s="50">
        <v>3.484</v>
      </c>
      <c r="F33" s="1" t="str">
        <f>HYPERLINK("http://www.ncbi.nlm.nih.gov/pubmed/?term=Itgal","Itgal")</f>
        <v>Itgal</v>
      </c>
    </row>
    <row r="34" spans="1:6" x14ac:dyDescent="0.25">
      <c r="A34" t="s">
        <v>2145</v>
      </c>
      <c r="B34" t="s">
        <v>743</v>
      </c>
      <c r="C34" s="50">
        <v>2.806</v>
      </c>
      <c r="D34" s="50">
        <v>3.2530000000000001</v>
      </c>
      <c r="E34" s="35">
        <v>7.3730000000000002</v>
      </c>
      <c r="F34" s="1" t="str">
        <f>HYPERLINK("http://www.ncbi.nlm.nih.gov/pubmed/?term=Il2rg","Il2rg")</f>
        <v>Il2rg</v>
      </c>
    </row>
    <row r="35" spans="1:6" x14ac:dyDescent="0.25">
      <c r="A35" t="s">
        <v>1352</v>
      </c>
      <c r="B35" t="s">
        <v>2160</v>
      </c>
      <c r="C35" s="5">
        <v>4.5460000000000003</v>
      </c>
      <c r="D35" s="5">
        <v>4.9820000000000002</v>
      </c>
      <c r="E35" s="31">
        <v>6.2560000000000002</v>
      </c>
      <c r="F35" s="1" t="str">
        <f>HYPERLINK("http://www.ncbi.nlm.nih.gov/pubmed/?term=Ikbkb","Ikbkb")</f>
        <v>Ikbkb</v>
      </c>
    </row>
    <row r="36" spans="1:6" x14ac:dyDescent="0.25">
      <c r="A36" t="s">
        <v>333</v>
      </c>
      <c r="B36" t="s">
        <v>1460</v>
      </c>
      <c r="C36" s="26">
        <v>0.44829999999999998</v>
      </c>
      <c r="D36" s="4">
        <v>2.1360000000000001</v>
      </c>
      <c r="E36" s="44">
        <v>3.8809999999999998</v>
      </c>
      <c r="F36" s="1" t="str">
        <f>HYPERLINK("http://www.ncbi.nlm.nih.gov/pubmed/?term=Pik3cb","Pik3cb")</f>
        <v>Pik3cb</v>
      </c>
    </row>
    <row r="37" spans="1:6" x14ac:dyDescent="0.25">
      <c r="A37" t="s">
        <v>1956</v>
      </c>
      <c r="B37" t="s">
        <v>1715</v>
      </c>
      <c r="C37" s="31">
        <v>5.9130000000000003</v>
      </c>
      <c r="D37" s="31">
        <v>5.9269999999999996</v>
      </c>
      <c r="E37" s="6">
        <v>8.0259999999999998</v>
      </c>
      <c r="F37" s="1" t="str">
        <f>HYPERLINK("http://www.ncbi.nlm.nih.gov/pubmed/?term=H2-DMb2","H2-DMb2")</f>
        <v>H2-DMb2</v>
      </c>
    </row>
    <row r="38" spans="1:6" x14ac:dyDescent="0.25">
      <c r="A38" t="s">
        <v>1491</v>
      </c>
      <c r="B38" t="s">
        <v>1428</v>
      </c>
      <c r="C38" s="26">
        <v>-0.41930000000000001</v>
      </c>
      <c r="D38" s="4">
        <v>2.2890000000000001</v>
      </c>
      <c r="E38" s="35">
        <v>6.6079999999999997</v>
      </c>
      <c r="F38" s="1" t="str">
        <f>HYPERLINK("http://www.ncbi.nlm.nih.gov/pubmed/?term=H2-Ob","H2-Ob")</f>
        <v>H2-Ob</v>
      </c>
    </row>
    <row r="39" spans="1:6" x14ac:dyDescent="0.25">
      <c r="A39" t="s">
        <v>213</v>
      </c>
      <c r="B39" t="s">
        <v>1777</v>
      </c>
      <c r="C39" s="44">
        <v>3.532</v>
      </c>
      <c r="D39" s="35">
        <v>6.6070000000000002</v>
      </c>
      <c r="E39" s="35">
        <v>6.9980000000000002</v>
      </c>
      <c r="F39" s="1" t="str">
        <f>HYPERLINK("http://www.ncbi.nlm.nih.gov/pubmed/?term=Tspo","Tspo")</f>
        <v>Tspo</v>
      </c>
    </row>
    <row r="40" spans="1:6" x14ac:dyDescent="0.25">
      <c r="A40" t="s">
        <v>823</v>
      </c>
      <c r="B40" t="s">
        <v>1992</v>
      </c>
      <c r="C40" s="26">
        <v>-2.1560000000000001</v>
      </c>
      <c r="D40" s="50">
        <v>3.274</v>
      </c>
      <c r="E40" s="44">
        <v>3.9910000000000001</v>
      </c>
      <c r="F40" s="1" t="str">
        <f>HYPERLINK("http://www.ncbi.nlm.nih.gov/pubmed/?term=Cdkn2a","Cdkn2a")</f>
        <v>Cdkn2a</v>
      </c>
    </row>
    <row r="41" spans="1:6" x14ac:dyDescent="0.25">
      <c r="A41" t="s">
        <v>167</v>
      </c>
      <c r="B41" t="s">
        <v>971</v>
      </c>
      <c r="C41" s="4">
        <v>1.5860000000000001</v>
      </c>
      <c r="D41" s="4">
        <v>2.2469999999999999</v>
      </c>
      <c r="E41" s="44">
        <v>4.2910000000000004</v>
      </c>
      <c r="F41" s="1" t="str">
        <f>HYPERLINK("http://www.ncbi.nlm.nih.gov/pubmed/?term=Fzd1","Fzd1")</f>
        <v>Fzd1</v>
      </c>
    </row>
    <row r="42" spans="1:6" x14ac:dyDescent="0.25">
      <c r="A42" t="s">
        <v>1311</v>
      </c>
      <c r="B42" t="s">
        <v>1431</v>
      </c>
      <c r="C42" s="44">
        <v>4.4509999999999996</v>
      </c>
      <c r="D42" s="6">
        <v>8.4649999999999999</v>
      </c>
      <c r="E42" s="34">
        <v>8.5500000000000007</v>
      </c>
      <c r="F42" s="1" t="str">
        <f>HYPERLINK("http://www.ncbi.nlm.nih.gov/pubmed/?term=H2-Q7","H2-Q7")</f>
        <v>H2-Q7</v>
      </c>
    </row>
    <row r="43" spans="1:6" x14ac:dyDescent="0.25">
      <c r="A43" t="s">
        <v>1401</v>
      </c>
      <c r="B43" t="s">
        <v>591</v>
      </c>
      <c r="C43" s="49">
        <v>9.7219999999999995</v>
      </c>
      <c r="D43" s="49">
        <v>9.8309999999999995</v>
      </c>
      <c r="E43" s="43">
        <v>11.67</v>
      </c>
      <c r="F43" s="1" t="str">
        <f>HYPERLINK("http://www.ncbi.nlm.nih.gov/pubmed/?term=H2-Eb1","H2-Eb1")</f>
        <v>H2-Eb1</v>
      </c>
    </row>
    <row r="44" spans="1:6" x14ac:dyDescent="0.25">
      <c r="A44" t="s">
        <v>300</v>
      </c>
      <c r="B44" t="s">
        <v>809</v>
      </c>
      <c r="C44" s="34">
        <v>8.6720000000000006</v>
      </c>
      <c r="D44" s="49">
        <v>10.43</v>
      </c>
      <c r="E44" s="43">
        <v>10.72</v>
      </c>
      <c r="F44" s="1" t="str">
        <f>HYPERLINK("http://www.ncbi.nlm.nih.gov/pubmed/?term=H2-K1","H2-K1")</f>
        <v>H2-K1</v>
      </c>
    </row>
    <row r="45" spans="1:6" x14ac:dyDescent="0.25">
      <c r="A45" t="s">
        <v>216</v>
      </c>
      <c r="B45" t="s">
        <v>586</v>
      </c>
      <c r="C45" s="35">
        <v>6.7060000000000004</v>
      </c>
      <c r="D45" s="6">
        <v>7.649</v>
      </c>
      <c r="E45" s="6">
        <v>7.8150000000000004</v>
      </c>
      <c r="F45" s="1" t="str">
        <f>HYPERLINK("http://www.ncbi.nlm.nih.gov/pubmed/?term=H2-T23","H2-T23")</f>
        <v>H2-T23</v>
      </c>
    </row>
    <row r="46" spans="1:6" x14ac:dyDescent="0.25">
      <c r="A46" t="s">
        <v>2141</v>
      </c>
      <c r="B46" t="s">
        <v>157</v>
      </c>
      <c r="C46" s="4">
        <v>2.1930000000000001</v>
      </c>
      <c r="D46" s="44">
        <v>4.2409999999999997</v>
      </c>
      <c r="E46" s="5">
        <v>4.5410000000000004</v>
      </c>
      <c r="F46" s="1" t="str">
        <f>HYPERLINK("http://www.ncbi.nlm.nih.gov/pubmed/?term=H2-Q10","H2-Q10")</f>
        <v>H2-Q10</v>
      </c>
    </row>
    <row r="47" spans="1:6" x14ac:dyDescent="0.25">
      <c r="A47" t="s">
        <v>247</v>
      </c>
      <c r="B47" t="s">
        <v>265</v>
      </c>
      <c r="C47" s="6">
        <v>8.1630000000000003</v>
      </c>
      <c r="D47" s="49">
        <v>10.1</v>
      </c>
      <c r="E47" s="49">
        <v>10.33</v>
      </c>
      <c r="F47" s="1" t="str">
        <f>HYPERLINK("http://www.ncbi.nlm.nih.gov/pubmed/?term=H2-D1","H2-D1")</f>
        <v>H2-D1</v>
      </c>
    </row>
    <row r="48" spans="1:6" x14ac:dyDescent="0.25">
      <c r="A48" t="s">
        <v>979</v>
      </c>
      <c r="B48" t="s">
        <v>1058</v>
      </c>
      <c r="C48" s="26">
        <v>-1.1819999999999999</v>
      </c>
      <c r="D48" s="44">
        <v>3.6190000000000002</v>
      </c>
      <c r="E48" s="5">
        <v>4.5949999999999998</v>
      </c>
      <c r="F48" s="1" t="str">
        <f>HYPERLINK("http://www.ncbi.nlm.nih.gov/pubmed/?term=Cdkn2b","Cdkn2b")</f>
        <v>Cdkn2b</v>
      </c>
    </row>
    <row r="49" spans="1:6" x14ac:dyDescent="0.25">
      <c r="A49" t="s">
        <v>1504</v>
      </c>
      <c r="B49" t="s">
        <v>1434</v>
      </c>
      <c r="C49" s="50">
        <v>3.0409999999999999</v>
      </c>
      <c r="D49" s="44">
        <v>3.6920000000000002</v>
      </c>
      <c r="E49" s="44">
        <v>3.9689999999999999</v>
      </c>
      <c r="F49" s="1" t="str">
        <f>HYPERLINK("http://www.ncbi.nlm.nih.gov/pubmed/?term=H2-Q2","H2-Q2")</f>
        <v>H2-Q2</v>
      </c>
    </row>
    <row r="50" spans="1:6" x14ac:dyDescent="0.25">
      <c r="A50" t="s">
        <v>1004</v>
      </c>
      <c r="B50" t="s">
        <v>1240</v>
      </c>
      <c r="C50" s="5">
        <v>4.9240000000000004</v>
      </c>
      <c r="D50" s="5">
        <v>5.14</v>
      </c>
      <c r="E50" s="44">
        <v>3.9609999999999999</v>
      </c>
      <c r="F50" s="1" t="str">
        <f>HYPERLINK("http://www.ncbi.nlm.nih.gov/pubmed/?term=Nfat5","Nfat5")</f>
        <v>Nfat5</v>
      </c>
    </row>
    <row r="51" spans="1:6" x14ac:dyDescent="0.25">
      <c r="A51" t="s">
        <v>1045</v>
      </c>
      <c r="B51" t="s">
        <v>1412</v>
      </c>
      <c r="C51" s="6">
        <v>8.2629999999999999</v>
      </c>
      <c r="D51" s="34">
        <v>8.5969999999999995</v>
      </c>
      <c r="E51" s="35">
        <v>6.7990000000000004</v>
      </c>
      <c r="F51" s="1" t="str">
        <f>HYPERLINK("http://www.ncbi.nlm.nih.gov/pubmed/?term=Fos","Fos")</f>
        <v>Fos</v>
      </c>
    </row>
    <row r="52" spans="1:6" x14ac:dyDescent="0.25">
      <c r="A52" t="s">
        <v>1882</v>
      </c>
      <c r="B52" t="s">
        <v>474</v>
      </c>
      <c r="C52" s="50">
        <v>3.1909999999999998</v>
      </c>
      <c r="D52" s="44">
        <v>4.0170000000000003</v>
      </c>
      <c r="E52" s="30">
        <v>1.3959999999999999</v>
      </c>
      <c r="F52" s="1" t="str">
        <f>HYPERLINK("http://www.ncbi.nlm.nih.gov/pubmed/?term=Tgfb3","Tgfb3")</f>
        <v>Tgfb3</v>
      </c>
    </row>
    <row r="53" spans="1:6" x14ac:dyDescent="0.25">
      <c r="A53" t="s">
        <v>1144</v>
      </c>
      <c r="B53" t="s">
        <v>1013</v>
      </c>
      <c r="C53" s="4">
        <v>2.222</v>
      </c>
      <c r="D53" s="44">
        <v>3.7280000000000002</v>
      </c>
      <c r="E53" s="4">
        <v>2.1829999999999998</v>
      </c>
      <c r="F53" s="1" t="str">
        <f>HYPERLINK("http://www.ncbi.nlm.nih.gov/pubmed/?term=Egr2","Egr2")</f>
        <v>Egr2</v>
      </c>
    </row>
    <row r="54" spans="1:6" x14ac:dyDescent="0.25">
      <c r="A54" t="s">
        <v>1926</v>
      </c>
      <c r="B54" t="s">
        <v>975</v>
      </c>
      <c r="C54" s="5">
        <v>4.5039999999999996</v>
      </c>
      <c r="D54" s="5">
        <v>4.9189999999999996</v>
      </c>
      <c r="E54" s="44">
        <v>3.6890000000000001</v>
      </c>
      <c r="F54" s="1" t="str">
        <f>HYPERLINK("http://www.ncbi.nlm.nih.gov/pubmed/?term=Fzd7","Fzd7")</f>
        <v>Fzd7</v>
      </c>
    </row>
    <row r="55" spans="1:6" x14ac:dyDescent="0.25">
      <c r="A55" t="s">
        <v>342</v>
      </c>
      <c r="B55" t="s">
        <v>972</v>
      </c>
      <c r="C55" s="44">
        <v>3.665</v>
      </c>
      <c r="D55" s="44">
        <v>3.722</v>
      </c>
      <c r="E55" s="30">
        <v>0.93340000000000001</v>
      </c>
      <c r="F55" s="1" t="str">
        <f>HYPERLINK("http://www.ncbi.nlm.nih.gov/pubmed/?term=Fzd2","Fzd2")</f>
        <v>Fzd2</v>
      </c>
    </row>
    <row r="56" spans="1:6" x14ac:dyDescent="0.25">
      <c r="A56" t="s">
        <v>1884</v>
      </c>
      <c r="B56" t="s">
        <v>2000</v>
      </c>
      <c r="C56" s="34">
        <v>8.7729999999999997</v>
      </c>
      <c r="D56" s="34">
        <v>9.0190000000000001</v>
      </c>
      <c r="E56" s="35">
        <v>7.4089999999999998</v>
      </c>
      <c r="F56" s="1" t="str">
        <f>HYPERLINK("http://www.ncbi.nlm.nih.gov/pubmed/?term=Jun","Jun")</f>
        <v>Jun</v>
      </c>
    </row>
    <row r="57" spans="1:6" x14ac:dyDescent="0.25">
      <c r="A57" t="s">
        <v>1803</v>
      </c>
      <c r="B57" t="s">
        <v>1393</v>
      </c>
      <c r="C57" s="5">
        <v>4.6040000000000001</v>
      </c>
      <c r="D57" s="4">
        <v>1.738</v>
      </c>
      <c r="E57" s="30">
        <v>1.3029999999999999</v>
      </c>
      <c r="F57" s="1" t="str">
        <f>HYPERLINK("http://www.ncbi.nlm.nih.gov/pubmed/?term=Lck","Lck")</f>
        <v>Lck</v>
      </c>
    </row>
    <row r="58" spans="1:6" x14ac:dyDescent="0.25">
      <c r="A58" t="s">
        <v>1297</v>
      </c>
      <c r="B58" t="s">
        <v>1557</v>
      </c>
      <c r="C58" s="44">
        <v>4.0659999999999998</v>
      </c>
      <c r="D58" s="44">
        <v>3.794</v>
      </c>
      <c r="E58" s="50">
        <v>2.5489999999999999</v>
      </c>
      <c r="F58" s="1" t="str">
        <f>HYPERLINK("http://www.ncbi.nlm.nih.gov/pubmed/?term=Kat2b","Kat2b")</f>
        <v>Kat2b</v>
      </c>
    </row>
    <row r="59" spans="1:6" x14ac:dyDescent="0.25">
      <c r="A59" t="s">
        <v>1506</v>
      </c>
      <c r="B59" t="s">
        <v>1331</v>
      </c>
      <c r="C59" s="5">
        <v>4.74</v>
      </c>
      <c r="D59" s="44">
        <v>3.9580000000000002</v>
      </c>
      <c r="E59" s="50">
        <v>2.786</v>
      </c>
      <c r="F59" s="1" t="str">
        <f>HYPERLINK("http://www.ncbi.nlm.nih.gov/pubmed/?term=Prkacb","Prkacb")</f>
        <v>Prkacb</v>
      </c>
    </row>
    <row r="60" spans="1:6" x14ac:dyDescent="0.25">
      <c r="A60" t="s">
        <v>1223</v>
      </c>
      <c r="B60" t="s">
        <v>760</v>
      </c>
      <c r="C60" s="44">
        <v>4.4809999999999999</v>
      </c>
      <c r="D60" s="44">
        <v>3.556</v>
      </c>
      <c r="E60" s="50">
        <v>3.1720000000000002</v>
      </c>
      <c r="F60" s="1" t="str">
        <f>HYPERLINK("http://www.ncbi.nlm.nih.gov/pubmed/?term=Apc","Apc")</f>
        <v>Apc</v>
      </c>
    </row>
    <row r="61" spans="1:6" x14ac:dyDescent="0.25">
      <c r="A61" t="s">
        <v>31</v>
      </c>
      <c r="B61" t="s">
        <v>400</v>
      </c>
      <c r="C61" s="44">
        <v>4.476</v>
      </c>
      <c r="D61" s="44">
        <v>3.5920000000000001</v>
      </c>
      <c r="E61" s="50">
        <v>3.4319999999999999</v>
      </c>
      <c r="F61" s="1" t="str">
        <f>HYPERLINK("http://www.ncbi.nlm.nih.gov/pubmed/?term=Mapk9","Mapk9")</f>
        <v>Mapk9</v>
      </c>
    </row>
    <row r="62" spans="1:6" x14ac:dyDescent="0.25">
      <c r="A62" t="s">
        <v>1594</v>
      </c>
      <c r="B62" t="s">
        <v>670</v>
      </c>
      <c r="C62" s="31">
        <v>6.4610000000000003</v>
      </c>
      <c r="D62" s="5">
        <v>5.43</v>
      </c>
      <c r="E62" s="5">
        <v>5.1449999999999996</v>
      </c>
      <c r="F62" s="1" t="str">
        <f>HYPERLINK("http://www.ncbi.nlm.nih.gov/pubmed/?term=Xbp1","Xbp1")</f>
        <v>Xbp1</v>
      </c>
    </row>
    <row r="63" spans="1:6" x14ac:dyDescent="0.25">
      <c r="A63" t="s">
        <v>2192</v>
      </c>
      <c r="B63" t="s">
        <v>275</v>
      </c>
      <c r="C63" s="44">
        <v>4.17</v>
      </c>
      <c r="D63" s="50">
        <v>3.2269999999999999</v>
      </c>
      <c r="E63" s="50">
        <v>3.1379999999999999</v>
      </c>
      <c r="F63" s="1" t="str">
        <f>HYPERLINK("http://www.ncbi.nlm.nih.gov/pubmed/?term=Cdc27","Cdc27")</f>
        <v>Cdc27</v>
      </c>
    </row>
    <row r="64" spans="1:6" x14ac:dyDescent="0.25">
      <c r="A64" t="s">
        <v>834</v>
      </c>
      <c r="B64" t="s">
        <v>1552</v>
      </c>
      <c r="C64" s="5">
        <v>4.516</v>
      </c>
      <c r="D64" s="44">
        <v>3.7549999999999999</v>
      </c>
      <c r="E64" s="50">
        <v>3.4649999999999999</v>
      </c>
      <c r="F64" s="1" t="str">
        <f>HYPERLINK("http://www.ncbi.nlm.nih.gov/pubmed/?term=Mapk8","Mapk8")</f>
        <v>Mapk8</v>
      </c>
    </row>
    <row r="65" spans="1:6" x14ac:dyDescent="0.25">
      <c r="A65" t="s">
        <v>1750</v>
      </c>
      <c r="B65" t="s">
        <v>2056</v>
      </c>
      <c r="C65" s="31">
        <v>5.8949999999999996</v>
      </c>
      <c r="D65" s="5">
        <v>5.3520000000000003</v>
      </c>
      <c r="E65" s="5">
        <v>4.8220000000000001</v>
      </c>
      <c r="F65" s="1" t="str">
        <f>HYPERLINK("http://www.ncbi.nlm.nih.gov/pubmed/?term=Ets2","Ets2")</f>
        <v>Ets2</v>
      </c>
    </row>
    <row r="66" spans="1:6" x14ac:dyDescent="0.25">
      <c r="A66" t="s">
        <v>1202</v>
      </c>
      <c r="B66" t="s">
        <v>921</v>
      </c>
      <c r="C66" s="5">
        <v>5.44</v>
      </c>
      <c r="D66" s="5">
        <v>4.5060000000000002</v>
      </c>
      <c r="E66" s="44">
        <v>4.4660000000000002</v>
      </c>
      <c r="F66" s="1" t="str">
        <f>HYPERLINK("http://www.ncbi.nlm.nih.gov/pubmed/?term=Atf1","Atf1")</f>
        <v>Atf1</v>
      </c>
    </row>
    <row r="67" spans="1:6" x14ac:dyDescent="0.25">
      <c r="A67" t="s">
        <v>614</v>
      </c>
      <c r="B67" t="s">
        <v>1273</v>
      </c>
      <c r="C67" s="31">
        <v>6.1040000000000001</v>
      </c>
      <c r="D67" s="5">
        <v>4.5590000000000002</v>
      </c>
      <c r="E67" s="50">
        <v>3.2919999999999998</v>
      </c>
      <c r="F67" s="1" t="str">
        <f>HYPERLINK("http://www.ncbi.nlm.nih.gov/pubmed/?term=Ltbr","Ltbr")</f>
        <v>Ltbr</v>
      </c>
    </row>
    <row r="68" spans="1:6" x14ac:dyDescent="0.25">
      <c r="A68" t="s">
        <v>242</v>
      </c>
      <c r="B68" t="s">
        <v>997</v>
      </c>
      <c r="C68" s="31">
        <v>6.056</v>
      </c>
      <c r="D68" s="5">
        <v>5.3730000000000002</v>
      </c>
      <c r="E68" s="44">
        <v>4.3070000000000004</v>
      </c>
      <c r="F68" s="1" t="str">
        <f>HYPERLINK("http://www.ncbi.nlm.nih.gov/pubmed/?term=Tnfrsf1a","Tnfrsf1a")</f>
        <v>Tnfrsf1a</v>
      </c>
    </row>
    <row r="69" spans="1:6" x14ac:dyDescent="0.25">
      <c r="A69" t="s">
        <v>1205</v>
      </c>
      <c r="B69" t="s">
        <v>1329</v>
      </c>
      <c r="C69" s="31">
        <v>5.6820000000000004</v>
      </c>
      <c r="D69" s="5">
        <v>5.0220000000000002</v>
      </c>
      <c r="E69" s="5">
        <v>4.7060000000000004</v>
      </c>
      <c r="F69" s="1" t="str">
        <f>HYPERLINK("http://www.ncbi.nlm.nih.gov/pubmed/?term=Pik3r2","Pik3r2")</f>
        <v>Pik3r2</v>
      </c>
    </row>
    <row r="70" spans="1:6" x14ac:dyDescent="0.25">
      <c r="A70" t="s">
        <v>1454</v>
      </c>
      <c r="B70" t="s">
        <v>2058</v>
      </c>
      <c r="C70" s="44">
        <v>4.2009999999999996</v>
      </c>
      <c r="D70" s="4">
        <v>2.427</v>
      </c>
      <c r="E70" s="30">
        <v>1.0369999999999999</v>
      </c>
      <c r="F70" s="1" t="str">
        <f>HYPERLINK("http://www.ncbi.nlm.nih.gov/pubmed/?term=Ets1","Ets1")</f>
        <v>Ets1</v>
      </c>
    </row>
    <row r="71" spans="1:6" x14ac:dyDescent="0.25">
      <c r="A71" t="s">
        <v>650</v>
      </c>
      <c r="B71" t="s">
        <v>2046</v>
      </c>
      <c r="C71" s="5">
        <v>4.5739999999999998</v>
      </c>
      <c r="D71" s="4">
        <v>2.1139999999999999</v>
      </c>
      <c r="E71" s="26">
        <v>-0.61719999999999997</v>
      </c>
      <c r="F71" s="1" t="str">
        <f>HYPERLINK("http://www.ncbi.nlm.nih.gov/pubmed/?term=Tgfbr2","Tgfbr2")</f>
        <v>Tgfbr2</v>
      </c>
    </row>
    <row r="72" spans="1:6" x14ac:dyDescent="0.25">
      <c r="A72" t="s">
        <v>1620</v>
      </c>
      <c r="B72" t="s">
        <v>1646</v>
      </c>
      <c r="C72" s="44">
        <v>4.484</v>
      </c>
      <c r="D72" s="44">
        <v>3.6629999999999998</v>
      </c>
      <c r="E72" s="50">
        <v>2.92</v>
      </c>
      <c r="F72" s="1" t="str">
        <f>HYPERLINK("http://www.ncbi.nlm.nih.gov/pubmed/?term=Map2k4","Map2k4")</f>
        <v>Map2k4</v>
      </c>
    </row>
    <row r="73" spans="1:6" x14ac:dyDescent="0.25">
      <c r="A73" t="s">
        <v>1721</v>
      </c>
      <c r="B73" t="s">
        <v>460</v>
      </c>
      <c r="C73" s="35">
        <v>6.5250000000000004</v>
      </c>
      <c r="D73" s="5">
        <v>4.6449999999999996</v>
      </c>
      <c r="E73" s="50">
        <v>3.2810000000000001</v>
      </c>
      <c r="F73" s="1" t="str">
        <f>HYPERLINK("http://www.ncbi.nlm.nih.gov/pubmed/?term=Wnt4","Wnt4")</f>
        <v>Wnt4</v>
      </c>
    </row>
    <row r="74" spans="1:6" x14ac:dyDescent="0.25">
      <c r="A74" t="s">
        <v>948</v>
      </c>
      <c r="B74" t="s">
        <v>829</v>
      </c>
      <c r="C74" s="31">
        <v>5.7649999999999997</v>
      </c>
      <c r="D74" s="31">
        <v>5.5519999999999996</v>
      </c>
      <c r="E74" s="44">
        <v>3.9569999999999999</v>
      </c>
      <c r="F74" s="1" t="str">
        <f>HYPERLINK("http://www.ncbi.nlm.nih.gov/pubmed/?term=Rras","Rras")</f>
        <v>Rras</v>
      </c>
    </row>
    <row r="75" spans="1:6" x14ac:dyDescent="0.25">
      <c r="A75" t="s">
        <v>343</v>
      </c>
      <c r="B75" t="s">
        <v>1730</v>
      </c>
      <c r="C75" s="5">
        <v>5.319</v>
      </c>
      <c r="D75" s="5">
        <v>4.6109999999999998</v>
      </c>
      <c r="E75" s="44">
        <v>4.0010000000000003</v>
      </c>
      <c r="F75" s="1" t="str">
        <f>HYPERLINK("http://www.ncbi.nlm.nih.gov/pubmed/?term=Cdc16","Cdc16")</f>
        <v>Cdc16</v>
      </c>
    </row>
    <row r="76" spans="1:6" x14ac:dyDescent="0.25">
      <c r="A76" t="s">
        <v>347</v>
      </c>
      <c r="B76" t="s">
        <v>1015</v>
      </c>
      <c r="C76" s="6">
        <v>8.2129999999999992</v>
      </c>
      <c r="D76" s="6">
        <v>7.5190000000000001</v>
      </c>
      <c r="E76" s="35">
        <v>6.6369999999999996</v>
      </c>
      <c r="F76" s="1" t="str">
        <f>HYPERLINK("http://www.ncbi.nlm.nih.gov/pubmed/?term=Egr1","Egr1")</f>
        <v>Egr1</v>
      </c>
    </row>
    <row r="77" spans="1:6" x14ac:dyDescent="0.25">
      <c r="A77" t="s">
        <v>731</v>
      </c>
      <c r="B77" t="s">
        <v>1330</v>
      </c>
      <c r="C77" s="5">
        <v>4.9180000000000001</v>
      </c>
      <c r="D77" s="5">
        <v>4.8079999999999998</v>
      </c>
      <c r="E77" s="44">
        <v>3.7410000000000001</v>
      </c>
      <c r="F77" s="1" t="str">
        <f>HYPERLINK("http://www.ncbi.nlm.nih.gov/pubmed/?term=Pik3r1","Pik3r1")</f>
        <v>Pik3r1</v>
      </c>
    </row>
    <row r="78" spans="1:6" x14ac:dyDescent="0.25">
      <c r="A78" t="s">
        <v>94</v>
      </c>
      <c r="B78" t="s">
        <v>605</v>
      </c>
      <c r="C78" s="50">
        <v>3.35</v>
      </c>
      <c r="D78" s="50">
        <v>2.903</v>
      </c>
      <c r="E78" s="4">
        <v>2.153</v>
      </c>
      <c r="F78" s="1" t="str">
        <f>HYPERLINK("http://www.ncbi.nlm.nih.gov/pubmed/?term=Rras2","Rras2")</f>
        <v>Rras2</v>
      </c>
    </row>
    <row r="79" spans="1:6" x14ac:dyDescent="0.25">
      <c r="A79" t="s">
        <v>579</v>
      </c>
      <c r="B79" t="s">
        <v>875</v>
      </c>
      <c r="C79" s="44">
        <v>3.5649999999999999</v>
      </c>
      <c r="D79" s="4">
        <v>2.4279999999999999</v>
      </c>
      <c r="E79" s="4">
        <v>2.3530000000000002</v>
      </c>
      <c r="F79" s="1" t="str">
        <f>HYPERLINK("http://www.ncbi.nlm.nih.gov/pubmed/?term=Crem","Crem")</f>
        <v>Crem</v>
      </c>
    </row>
    <row r="80" spans="1:6" x14ac:dyDescent="0.25">
      <c r="A80" t="s">
        <v>1459</v>
      </c>
      <c r="B80" t="s">
        <v>473</v>
      </c>
      <c r="C80" s="50">
        <v>3.3570000000000002</v>
      </c>
      <c r="D80" s="50">
        <v>2.609</v>
      </c>
      <c r="E80" s="44">
        <v>3.7639999999999998</v>
      </c>
      <c r="F80" s="1" t="str">
        <f>HYPERLINK("http://www.ncbi.nlm.nih.gov/pubmed/?term=Tgfb1","Tgfb1")</f>
        <v>Tgfb1</v>
      </c>
    </row>
    <row r="81" spans="1:6" x14ac:dyDescent="0.25">
      <c r="A81" t="s">
        <v>1753</v>
      </c>
      <c r="B81" t="s">
        <v>252</v>
      </c>
      <c r="C81" s="5">
        <v>4.8380000000000001</v>
      </c>
      <c r="D81" s="5">
        <v>4.8330000000000002</v>
      </c>
      <c r="E81" s="35">
        <v>7.3019999999999996</v>
      </c>
      <c r="F81" s="1" t="str">
        <f>HYPERLINK("http://www.ncbi.nlm.nih.gov/pubmed/?term=Cd40","Cd40")</f>
        <v>Cd40</v>
      </c>
    </row>
    <row r="82" spans="1:6" x14ac:dyDescent="0.25">
      <c r="A82" t="s">
        <v>1117</v>
      </c>
      <c r="B82" t="s">
        <v>984</v>
      </c>
      <c r="C82" s="44">
        <v>3.7759999999999998</v>
      </c>
      <c r="D82" s="44">
        <v>3.5619999999999998</v>
      </c>
      <c r="E82" s="5">
        <v>4.6740000000000004</v>
      </c>
      <c r="F82" s="1" t="str">
        <f>HYPERLINK("http://www.ncbi.nlm.nih.gov/pubmed/?term=Myb","Myb")</f>
        <v>Myb</v>
      </c>
    </row>
    <row r="83" spans="1:6" x14ac:dyDescent="0.25">
      <c r="A83" t="s">
        <v>482</v>
      </c>
      <c r="B83" t="s">
        <v>44</v>
      </c>
      <c r="C83" s="26">
        <v>7.9680000000000001E-2</v>
      </c>
      <c r="D83" s="26">
        <v>-0.70120000000000005</v>
      </c>
      <c r="E83" s="44">
        <v>3.97</v>
      </c>
      <c r="F83" s="1" t="str">
        <f>HYPERLINK("http://www.ncbi.nlm.nih.gov/pubmed/?term=Adcy1","Adcy1")</f>
        <v>Adcy1</v>
      </c>
    </row>
    <row r="84" spans="1:6" x14ac:dyDescent="0.25">
      <c r="A84" t="s">
        <v>1177</v>
      </c>
      <c r="B84" t="s">
        <v>711</v>
      </c>
      <c r="C84" s="50">
        <v>3.2429999999999999</v>
      </c>
      <c r="D84" s="50">
        <v>2.9780000000000002</v>
      </c>
      <c r="E84" s="5">
        <v>4.7270000000000003</v>
      </c>
      <c r="F84" s="1" t="str">
        <f>HYPERLINK("http://www.ncbi.nlm.nih.gov/pubmed/?term=Stat5b","Stat5b")</f>
        <v>Stat5b</v>
      </c>
    </row>
    <row r="85" spans="1:6" x14ac:dyDescent="0.25">
      <c r="A85" t="s">
        <v>1942</v>
      </c>
      <c r="B85" t="s">
        <v>506</v>
      </c>
      <c r="C85" s="5">
        <v>4.665</v>
      </c>
      <c r="D85" s="44">
        <v>4.1630000000000003</v>
      </c>
      <c r="E85" s="5">
        <v>5.266</v>
      </c>
      <c r="F85" s="1" t="str">
        <f>HYPERLINK("http://www.ncbi.nlm.nih.gov/pubmed/?term=Map3k14","Map3k14")</f>
        <v>Map3k14</v>
      </c>
    </row>
    <row r="86" spans="1:6" x14ac:dyDescent="0.25">
      <c r="A86" t="s">
        <v>1852</v>
      </c>
      <c r="B86" t="s">
        <v>1070</v>
      </c>
      <c r="C86" s="6">
        <v>7.577</v>
      </c>
      <c r="D86" s="6">
        <v>7.5250000000000004</v>
      </c>
      <c r="E86" s="49">
        <v>9.6739999999999995</v>
      </c>
      <c r="F86" s="1" t="str">
        <f>HYPERLINK("http://www.ncbi.nlm.nih.gov/pubmed/?term=Nfkbia","Nfkbia")</f>
        <v>Nfkbia</v>
      </c>
    </row>
    <row r="87" spans="1:6" x14ac:dyDescent="0.25">
      <c r="A87" t="s">
        <v>1324</v>
      </c>
      <c r="B87" t="s">
        <v>1429</v>
      </c>
      <c r="C87" s="5">
        <v>5.2809999999999997</v>
      </c>
      <c r="D87" s="5">
        <v>5.2389999999999999</v>
      </c>
      <c r="E87" s="6">
        <v>8.2189999999999994</v>
      </c>
      <c r="F87" s="1" t="str">
        <f>HYPERLINK("http://www.ncbi.nlm.nih.gov/pubmed/?term=H2-Oa","H2-Oa")</f>
        <v>H2-Oa</v>
      </c>
    </row>
    <row r="88" spans="1:6" x14ac:dyDescent="0.25">
      <c r="A88" t="s">
        <v>724</v>
      </c>
      <c r="B88" t="s">
        <v>931</v>
      </c>
      <c r="C88" s="50">
        <v>2.7850000000000001</v>
      </c>
      <c r="D88" s="50">
        <v>2.702</v>
      </c>
      <c r="E88" s="5">
        <v>5.0590000000000002</v>
      </c>
      <c r="F88" s="1" t="str">
        <f>HYPERLINK("http://www.ncbi.nlm.nih.gov/pubmed/?term=Il15","Il15")</f>
        <v>Il15</v>
      </c>
    </row>
    <row r="89" spans="1:6" x14ac:dyDescent="0.25">
      <c r="A89" t="s">
        <v>169</v>
      </c>
      <c r="B89" t="s">
        <v>89</v>
      </c>
      <c r="C89" s="5">
        <v>4.556</v>
      </c>
      <c r="D89" s="44">
        <v>4.26</v>
      </c>
      <c r="E89" s="31">
        <v>6.1230000000000002</v>
      </c>
      <c r="F89" s="1" t="str">
        <f>HYPERLINK("http://www.ncbi.nlm.nih.gov/pubmed/?term=Mras","Mras")</f>
        <v>Mras</v>
      </c>
    </row>
    <row r="90" spans="1:6" x14ac:dyDescent="0.25">
      <c r="A90" t="s">
        <v>528</v>
      </c>
      <c r="B90" t="s">
        <v>1739</v>
      </c>
      <c r="C90" s="49">
        <v>10.41</v>
      </c>
      <c r="D90" s="49">
        <v>10.1</v>
      </c>
      <c r="E90" s="43">
        <v>12.37</v>
      </c>
      <c r="F90" s="1" t="str">
        <f>HYPERLINK("http://www.ncbi.nlm.nih.gov/pubmed/?term=H2-Aa","H2-Aa")</f>
        <v>H2-Aa</v>
      </c>
    </row>
    <row r="91" spans="1:6" x14ac:dyDescent="0.25">
      <c r="A91" t="s">
        <v>546</v>
      </c>
      <c r="B91" t="s">
        <v>647</v>
      </c>
      <c r="C91" s="35">
        <v>7.0970000000000004</v>
      </c>
      <c r="D91" s="35">
        <v>6.6790000000000003</v>
      </c>
      <c r="E91" s="34">
        <v>8.57</v>
      </c>
      <c r="F91" s="1" t="str">
        <f>HYPERLINK("http://www.ncbi.nlm.nih.gov/pubmed/?term=Icam1","Icam1")</f>
        <v>Icam1</v>
      </c>
    </row>
    <row r="92" spans="1:6" x14ac:dyDescent="0.25">
      <c r="A92" t="s">
        <v>535</v>
      </c>
      <c r="B92" t="s">
        <v>1422</v>
      </c>
      <c r="C92" s="50">
        <v>3.3570000000000002</v>
      </c>
      <c r="D92" s="4">
        <v>2.1110000000000002</v>
      </c>
      <c r="E92" s="44">
        <v>3.92</v>
      </c>
      <c r="F92" s="1" t="str">
        <f>HYPERLINK("http://www.ncbi.nlm.nih.gov/pubmed/?term=Bub1b","Bub1b")</f>
        <v>Bub1b</v>
      </c>
    </row>
    <row r="93" spans="1:6" x14ac:dyDescent="0.25">
      <c r="A93" t="s">
        <v>1974</v>
      </c>
      <c r="B93" t="s">
        <v>1270</v>
      </c>
      <c r="C93" s="43">
        <v>10.67</v>
      </c>
      <c r="D93" s="49">
        <v>10.31</v>
      </c>
      <c r="E93" s="43">
        <v>12.36</v>
      </c>
      <c r="F93" s="1" t="str">
        <f>HYPERLINK("http://www.ncbi.nlm.nih.gov/pubmed/?term=H2-Ab1","H2-Ab1")</f>
        <v>H2-Ab1</v>
      </c>
    </row>
    <row r="94" spans="1:6" x14ac:dyDescent="0.25">
      <c r="A94" t="s">
        <v>1468</v>
      </c>
      <c r="B94" t="s">
        <v>1716</v>
      </c>
      <c r="C94" s="5">
        <v>5.3959999999999999</v>
      </c>
      <c r="D94" s="5">
        <v>5.0060000000000002</v>
      </c>
      <c r="E94" s="35">
        <v>6.9</v>
      </c>
      <c r="F94" s="1" t="str">
        <f>HYPERLINK("http://www.ncbi.nlm.nih.gov/pubmed/?term=H2-DMb1","H2-DMb1")</f>
        <v>H2-DMb1</v>
      </c>
    </row>
    <row r="95" spans="1:6" x14ac:dyDescent="0.25">
      <c r="A95" t="s">
        <v>1660</v>
      </c>
      <c r="B95" t="s">
        <v>2069</v>
      </c>
      <c r="C95" s="44">
        <v>3.8090000000000002</v>
      </c>
      <c r="D95" s="26">
        <v>-1.27</v>
      </c>
      <c r="E95" s="26">
        <v>-1.117</v>
      </c>
      <c r="F95" s="1" t="str">
        <f>HYPERLINK("http://www.ncbi.nlm.nih.gov/pubmed/?term=Itgb2","Itgb2")</f>
        <v>Itgb2</v>
      </c>
    </row>
    <row r="96" spans="1:6" x14ac:dyDescent="0.25">
      <c r="A96" t="s">
        <v>1883</v>
      </c>
      <c r="B96" t="s">
        <v>434</v>
      </c>
      <c r="C96" s="44">
        <v>4.2249999999999996</v>
      </c>
      <c r="D96" s="26">
        <v>0.3417</v>
      </c>
      <c r="E96" s="30">
        <v>0.66310000000000002</v>
      </c>
      <c r="F96" s="1" t="str">
        <f>HYPERLINK("http://www.ncbi.nlm.nih.gov/pubmed/?term=Cd3g","Cd3g")</f>
        <v>Cd3g</v>
      </c>
    </row>
    <row r="97" spans="1:6" x14ac:dyDescent="0.25">
      <c r="A97" t="s">
        <v>1289</v>
      </c>
      <c r="B97" t="s">
        <v>2001</v>
      </c>
      <c r="C97" s="5">
        <v>4.7679999999999998</v>
      </c>
      <c r="D97" s="50">
        <v>2.8929999999999998</v>
      </c>
      <c r="E97" s="50">
        <v>3.339</v>
      </c>
      <c r="F97" s="1" t="str">
        <f>HYPERLINK("http://www.ncbi.nlm.nih.gov/pubmed/?term=Smad3","Smad3")</f>
        <v>Smad3</v>
      </c>
    </row>
    <row r="98" spans="1:6" x14ac:dyDescent="0.25">
      <c r="A98" t="s">
        <v>865</v>
      </c>
      <c r="B98" t="s">
        <v>1044</v>
      </c>
      <c r="C98" s="35">
        <v>6.5350000000000001</v>
      </c>
      <c r="D98" s="5">
        <v>4.9409999999999998</v>
      </c>
      <c r="E98" s="31">
        <v>6.3239999999999998</v>
      </c>
      <c r="F98" s="1" t="str">
        <f>HYPERLINK("http://www.ncbi.nlm.nih.gov/pubmed/?term=H2-DMa","H2-DMa")</f>
        <v>H2-DMa</v>
      </c>
    </row>
    <row r="99" spans="1:6" x14ac:dyDescent="0.25">
      <c r="A99" t="s">
        <v>831</v>
      </c>
      <c r="B99" t="s">
        <v>693</v>
      </c>
      <c r="C99" s="34">
        <v>8.7810000000000006</v>
      </c>
      <c r="D99" s="6">
        <v>7.5019999999999998</v>
      </c>
      <c r="E99" s="6">
        <v>7.5279999999999996</v>
      </c>
      <c r="F99" s="1" t="str">
        <f>HYPERLINK("http://www.ncbi.nlm.nih.gov/pubmed/?term=Zfp36","Zfp36")</f>
        <v>Zfp36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1792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2016</v>
      </c>
      <c r="B5" t="s">
        <v>1464</v>
      </c>
      <c r="C5" s="26">
        <v>-0.25159999999999999</v>
      </c>
      <c r="D5" s="19">
        <v>4.952</v>
      </c>
      <c r="E5" s="8">
        <v>0.69540000000000002</v>
      </c>
      <c r="F5" s="1" t="str">
        <f>HYPERLINK("http://www.ncbi.nlm.nih.gov/pubmed/?term=Pik3cg","Pik3cg")</f>
        <v>Pik3cg</v>
      </c>
    </row>
    <row r="6" spans="1:6" x14ac:dyDescent="0.25">
      <c r="A6" t="s">
        <v>1335</v>
      </c>
      <c r="B6" t="s">
        <v>1328</v>
      </c>
      <c r="C6" s="8">
        <v>0.53520000000000001</v>
      </c>
      <c r="D6" s="3">
        <v>5.8090000000000002</v>
      </c>
      <c r="E6" s="41">
        <v>2.5489999999999999</v>
      </c>
      <c r="F6" s="1" t="str">
        <f>HYPERLINK("http://www.ncbi.nlm.nih.gov/pubmed/?term=Pik3r5","Pik3r5")</f>
        <v>Pik3r5</v>
      </c>
    </row>
    <row r="7" spans="1:6" x14ac:dyDescent="0.25">
      <c r="A7" t="s">
        <v>378</v>
      </c>
      <c r="B7" t="s">
        <v>1014</v>
      </c>
      <c r="C7" s="26">
        <v>-2.1019999999999999</v>
      </c>
      <c r="D7" s="15">
        <v>3.8029999999999999</v>
      </c>
      <c r="E7" s="37">
        <v>2.2080000000000002</v>
      </c>
      <c r="F7" s="1" t="str">
        <f>HYPERLINK("http://www.ncbi.nlm.nih.gov/pubmed/?term=Egr3","Egr3")</f>
        <v>Egr3</v>
      </c>
    </row>
    <row r="8" spans="1:6" x14ac:dyDescent="0.25">
      <c r="A8" t="s">
        <v>853</v>
      </c>
      <c r="B8" t="s">
        <v>1990</v>
      </c>
      <c r="C8" s="26">
        <v>2.0140000000000002E-2</v>
      </c>
      <c r="D8" s="19">
        <v>5.3710000000000004</v>
      </c>
      <c r="E8" s="15">
        <v>4.4320000000000004</v>
      </c>
      <c r="F8" s="1" t="str">
        <f>HYPERLINK("http://www.ncbi.nlm.nih.gov/pubmed/?term=Ccnd1","Ccnd1")</f>
        <v>Ccnd1</v>
      </c>
    </row>
    <row r="9" spans="1:6" x14ac:dyDescent="0.25">
      <c r="A9" t="s">
        <v>1272</v>
      </c>
      <c r="B9" t="s">
        <v>1710</v>
      </c>
      <c r="C9" s="15">
        <v>3.823</v>
      </c>
      <c r="D9" s="19">
        <v>4.7160000000000002</v>
      </c>
      <c r="E9" s="19">
        <v>4.9569999999999999</v>
      </c>
      <c r="F9" s="1" t="str">
        <f>HYPERLINK("http://www.ncbi.nlm.nih.gov/pubmed/?term=Stat6","Stat6")</f>
        <v>Stat6</v>
      </c>
    </row>
    <row r="10" spans="1:6" x14ac:dyDescent="0.25">
      <c r="A10" t="s">
        <v>538</v>
      </c>
      <c r="B10" t="s">
        <v>1263</v>
      </c>
      <c r="C10" s="19">
        <v>5.3659999999999997</v>
      </c>
      <c r="D10" s="19">
        <v>5.4429999999999996</v>
      </c>
      <c r="E10" s="9">
        <v>7.1589999999999998</v>
      </c>
      <c r="F10" s="1" t="str">
        <f>HYPERLINK("http://www.ncbi.nlm.nih.gov/pubmed/?term=Bax","Bax")</f>
        <v>Bax</v>
      </c>
    </row>
    <row r="11" spans="1:6" x14ac:dyDescent="0.25">
      <c r="A11" t="s">
        <v>390</v>
      </c>
      <c r="B11" t="s">
        <v>1712</v>
      </c>
      <c r="C11" s="3">
        <v>5.78</v>
      </c>
      <c r="D11" s="9">
        <v>6.601</v>
      </c>
      <c r="E11" s="39">
        <v>7.68</v>
      </c>
      <c r="F11" s="1" t="str">
        <f>HYPERLINK("http://www.ncbi.nlm.nih.gov/pubmed/?term=Stat3","Stat3")</f>
        <v>Stat3</v>
      </c>
    </row>
    <row r="12" spans="1:6" x14ac:dyDescent="0.25">
      <c r="A12" t="s">
        <v>389</v>
      </c>
      <c r="B12" t="s">
        <v>712</v>
      </c>
      <c r="C12" s="37">
        <v>2.3450000000000002</v>
      </c>
      <c r="D12" s="3">
        <v>5.5529999999999999</v>
      </c>
      <c r="E12" s="9">
        <v>6.5759999999999996</v>
      </c>
      <c r="F12" s="1" t="str">
        <f>HYPERLINK("http://www.ncbi.nlm.nih.gov/pubmed/?term=Stat5a","Stat5a")</f>
        <v>Stat5a</v>
      </c>
    </row>
    <row r="13" spans="1:6" x14ac:dyDescent="0.25">
      <c r="A13" t="s">
        <v>468</v>
      </c>
      <c r="B13" t="s">
        <v>596</v>
      </c>
      <c r="C13" s="37">
        <v>2.3919999999999999</v>
      </c>
      <c r="D13" s="41">
        <v>2.726</v>
      </c>
      <c r="E13" s="19">
        <v>4.7569999999999997</v>
      </c>
      <c r="F13" s="1" t="str">
        <f>HYPERLINK("http://www.ncbi.nlm.nih.gov/pubmed/?term=Map3k1","Map3k1")</f>
        <v>Map3k1</v>
      </c>
    </row>
    <row r="14" spans="1:6" x14ac:dyDescent="0.25">
      <c r="A14" t="s">
        <v>567</v>
      </c>
      <c r="B14" t="s">
        <v>1580</v>
      </c>
      <c r="C14" s="15">
        <v>3.569</v>
      </c>
      <c r="D14" s="3">
        <v>5.556</v>
      </c>
      <c r="E14" s="3">
        <v>6.1470000000000002</v>
      </c>
      <c r="F14" s="1" t="str">
        <f>HYPERLINK("http://www.ncbi.nlm.nih.gov/pubmed/?term=Cdkn1a","Cdkn1a")</f>
        <v>Cdkn1a</v>
      </c>
    </row>
    <row r="15" spans="1:6" x14ac:dyDescent="0.25">
      <c r="A15" t="s">
        <v>656</v>
      </c>
      <c r="B15" t="s">
        <v>1049</v>
      </c>
      <c r="C15" s="26">
        <v>-1.929</v>
      </c>
      <c r="D15" s="8">
        <v>0.65049999999999997</v>
      </c>
      <c r="E15" s="15">
        <v>4.242</v>
      </c>
      <c r="F15" s="1" t="str">
        <f>HYPERLINK("http://www.ncbi.nlm.nih.gov/pubmed/?term=Tnf","Tnf")</f>
        <v>Tnf</v>
      </c>
    </row>
    <row r="16" spans="1:6" x14ac:dyDescent="0.25">
      <c r="A16" t="s">
        <v>986</v>
      </c>
      <c r="B16" t="s">
        <v>2073</v>
      </c>
      <c r="C16" s="37">
        <v>2.4039999999999999</v>
      </c>
      <c r="D16" s="15">
        <v>4.0590000000000002</v>
      </c>
      <c r="E16" s="3">
        <v>6.069</v>
      </c>
      <c r="F16" s="1" t="str">
        <f>HYPERLINK("http://www.ncbi.nlm.nih.gov/pubmed/?term=Fas","Fas")</f>
        <v>Fas</v>
      </c>
    </row>
    <row r="17" spans="1:6" x14ac:dyDescent="0.25">
      <c r="A17" t="s">
        <v>2023</v>
      </c>
      <c r="B17" t="s">
        <v>897</v>
      </c>
      <c r="C17" s="15">
        <v>4.37</v>
      </c>
      <c r="D17" s="19">
        <v>5.0970000000000004</v>
      </c>
      <c r="E17" s="19">
        <v>5.4119999999999999</v>
      </c>
      <c r="F17" s="1" t="str">
        <f>HYPERLINK("http://www.ncbi.nlm.nih.gov/pubmed/?term=Hras1","Hras1")</f>
        <v>Hras1</v>
      </c>
    </row>
    <row r="18" spans="1:6" x14ac:dyDescent="0.25">
      <c r="A18" t="s">
        <v>842</v>
      </c>
      <c r="B18" t="s">
        <v>1041</v>
      </c>
      <c r="C18" s="26">
        <v>6.5780000000000005E-2</v>
      </c>
      <c r="D18" s="41">
        <v>2.7519999999999998</v>
      </c>
      <c r="E18" s="19">
        <v>4.6470000000000002</v>
      </c>
      <c r="F18" s="1" t="str">
        <f>HYPERLINK("http://www.ncbi.nlm.nih.gov/pubmed/?term=Nfatc2","Nfatc2")</f>
        <v>Nfatc2</v>
      </c>
    </row>
    <row r="19" spans="1:6" x14ac:dyDescent="0.25">
      <c r="A19" t="s">
        <v>1958</v>
      </c>
      <c r="B19" t="s">
        <v>1965</v>
      </c>
      <c r="C19" s="19">
        <v>4.9290000000000003</v>
      </c>
      <c r="D19" s="19">
        <v>5.2320000000000002</v>
      </c>
      <c r="E19" s="3">
        <v>6.2359999999999998</v>
      </c>
      <c r="F19" s="1" t="str">
        <f>HYPERLINK("http://www.ncbi.nlm.nih.gov/pubmed/?term=Src","Src")</f>
        <v>Src</v>
      </c>
    </row>
    <row r="20" spans="1:6" x14ac:dyDescent="0.25">
      <c r="A20" t="s">
        <v>1352</v>
      </c>
      <c r="B20" t="s">
        <v>2160</v>
      </c>
      <c r="C20" s="19">
        <v>4.5460000000000003</v>
      </c>
      <c r="D20" s="19">
        <v>4.9820000000000002</v>
      </c>
      <c r="E20" s="3">
        <v>6.2560000000000002</v>
      </c>
      <c r="F20" s="1" t="str">
        <f>HYPERLINK("http://www.ncbi.nlm.nih.gov/pubmed/?term=Ikbkb","Ikbkb")</f>
        <v>Ikbkb</v>
      </c>
    </row>
    <row r="21" spans="1:6" x14ac:dyDescent="0.25">
      <c r="A21" t="s">
        <v>333</v>
      </c>
      <c r="B21" t="s">
        <v>1460</v>
      </c>
      <c r="C21" s="26">
        <v>0.44829999999999998</v>
      </c>
      <c r="D21" s="37">
        <v>2.1360000000000001</v>
      </c>
      <c r="E21" s="15">
        <v>3.8809999999999998</v>
      </c>
      <c r="F21" s="1" t="str">
        <f>HYPERLINK("http://www.ncbi.nlm.nih.gov/pubmed/?term=Pik3cb","Pik3cb")</f>
        <v>Pik3cb</v>
      </c>
    </row>
    <row r="22" spans="1:6" x14ac:dyDescent="0.25">
      <c r="A22" t="s">
        <v>1287</v>
      </c>
      <c r="B22" t="s">
        <v>2163</v>
      </c>
      <c r="C22" s="8">
        <v>1.2130000000000001</v>
      </c>
      <c r="D22" s="41">
        <v>3.093</v>
      </c>
      <c r="E22" s="15">
        <v>4.367</v>
      </c>
      <c r="F22" s="1" t="str">
        <f>HYPERLINK("http://www.ncbi.nlm.nih.gov/pubmed/?term=Ikbke","Ikbke")</f>
        <v>Ikbke</v>
      </c>
    </row>
    <row r="23" spans="1:6" x14ac:dyDescent="0.25">
      <c r="A23" t="s">
        <v>1336</v>
      </c>
      <c r="B23" t="s">
        <v>895</v>
      </c>
      <c r="C23" s="8">
        <v>0.75729999999999997</v>
      </c>
      <c r="D23" s="15">
        <v>4.1239999999999997</v>
      </c>
      <c r="E23" s="9">
        <v>7.1379999999999999</v>
      </c>
      <c r="F23" s="1" t="str">
        <f>HYPERLINK("http://www.ncbi.nlm.nih.gov/pubmed/?term=Ptk2b","Ptk2b")</f>
        <v>Ptk2b</v>
      </c>
    </row>
    <row r="24" spans="1:6" x14ac:dyDescent="0.25">
      <c r="A24" t="s">
        <v>1004</v>
      </c>
      <c r="B24" t="s">
        <v>1240</v>
      </c>
      <c r="C24" s="19">
        <v>4.9240000000000004</v>
      </c>
      <c r="D24" s="19">
        <v>5.14</v>
      </c>
      <c r="E24" s="15">
        <v>3.9609999999999999</v>
      </c>
      <c r="F24" s="1" t="str">
        <f>HYPERLINK("http://www.ncbi.nlm.nih.gov/pubmed/?term=Nfat5","Nfat5")</f>
        <v>Nfat5</v>
      </c>
    </row>
    <row r="25" spans="1:6" x14ac:dyDescent="0.25">
      <c r="A25" t="s">
        <v>1045</v>
      </c>
      <c r="B25" t="s">
        <v>1412</v>
      </c>
      <c r="C25" s="39">
        <v>8.2629999999999999</v>
      </c>
      <c r="D25" s="43">
        <v>8.5969999999999995</v>
      </c>
      <c r="E25" s="9">
        <v>6.7990000000000004</v>
      </c>
      <c r="F25" s="1" t="str">
        <f>HYPERLINK("http://www.ncbi.nlm.nih.gov/pubmed/?term=Fos","Fos")</f>
        <v>Fos</v>
      </c>
    </row>
    <row r="26" spans="1:6" x14ac:dyDescent="0.25">
      <c r="A26" t="s">
        <v>1882</v>
      </c>
      <c r="B26" t="s">
        <v>474</v>
      </c>
      <c r="C26" s="41">
        <v>3.1909999999999998</v>
      </c>
      <c r="D26" s="15">
        <v>4.0170000000000003</v>
      </c>
      <c r="E26" s="8">
        <v>1.3959999999999999</v>
      </c>
      <c r="F26" s="1" t="str">
        <f>HYPERLINK("http://www.ncbi.nlm.nih.gov/pubmed/?term=Tgfb3","Tgfb3")</f>
        <v>Tgfb3</v>
      </c>
    </row>
    <row r="27" spans="1:6" x14ac:dyDescent="0.25">
      <c r="A27" t="s">
        <v>2022</v>
      </c>
      <c r="B27" t="s">
        <v>123</v>
      </c>
      <c r="C27" s="15">
        <v>4.4390000000000001</v>
      </c>
      <c r="D27" s="9">
        <v>7.2649999999999997</v>
      </c>
      <c r="E27" s="15">
        <v>3.5259999999999998</v>
      </c>
      <c r="F27" s="1" t="str">
        <f>HYPERLINK("http://www.ncbi.nlm.nih.gov/pubmed/?term=Irf7","Irf7")</f>
        <v>Irf7</v>
      </c>
    </row>
    <row r="28" spans="1:6" x14ac:dyDescent="0.25">
      <c r="A28" t="s">
        <v>922</v>
      </c>
      <c r="B28" t="s">
        <v>2002</v>
      </c>
      <c r="C28" s="15">
        <v>3.9580000000000002</v>
      </c>
      <c r="D28" s="19">
        <v>4.5739999999999998</v>
      </c>
      <c r="E28" s="8">
        <v>0.68830000000000002</v>
      </c>
      <c r="F28" s="1" t="str">
        <f>HYPERLINK("http://www.ncbi.nlm.nih.gov/pubmed/?term=Casp12","Casp12")</f>
        <v>Casp12</v>
      </c>
    </row>
    <row r="29" spans="1:6" x14ac:dyDescent="0.25">
      <c r="A29" t="s">
        <v>410</v>
      </c>
      <c r="B29" t="s">
        <v>1801</v>
      </c>
      <c r="C29" s="19">
        <v>4.6349999999999998</v>
      </c>
      <c r="D29" s="19">
        <v>4.7809999999999997</v>
      </c>
      <c r="E29" s="41">
        <v>3.198</v>
      </c>
      <c r="F29" s="1" t="str">
        <f>HYPERLINK("http://www.ncbi.nlm.nih.gov/pubmed/?term=Ifih1","Ifih1")</f>
        <v>Ifih1</v>
      </c>
    </row>
    <row r="30" spans="1:6" x14ac:dyDescent="0.25">
      <c r="A30" t="s">
        <v>1144</v>
      </c>
      <c r="B30" t="s">
        <v>1013</v>
      </c>
      <c r="C30" s="37">
        <v>2.222</v>
      </c>
      <c r="D30" s="15">
        <v>3.7280000000000002</v>
      </c>
      <c r="E30" s="37">
        <v>2.1829999999999998</v>
      </c>
      <c r="F30" s="1" t="str">
        <f>HYPERLINK("http://www.ncbi.nlm.nih.gov/pubmed/?term=Egr2","Egr2")</f>
        <v>Egr2</v>
      </c>
    </row>
    <row r="31" spans="1:6" x14ac:dyDescent="0.25">
      <c r="A31" t="s">
        <v>1986</v>
      </c>
      <c r="B31" t="s">
        <v>1713</v>
      </c>
      <c r="C31" s="15">
        <v>4.3099999999999996</v>
      </c>
      <c r="D31" s="3">
        <v>5.56</v>
      </c>
      <c r="E31" s="41">
        <v>3.3860000000000001</v>
      </c>
      <c r="F31" s="1" t="str">
        <f>HYPERLINK("http://www.ncbi.nlm.nih.gov/pubmed/?term=Stat2","Stat2")</f>
        <v>Stat2</v>
      </c>
    </row>
    <row r="32" spans="1:6" x14ac:dyDescent="0.25">
      <c r="A32" t="s">
        <v>575</v>
      </c>
      <c r="B32" t="s">
        <v>1686</v>
      </c>
      <c r="C32" s="19">
        <v>5.3390000000000004</v>
      </c>
      <c r="D32" s="19">
        <v>5.4109999999999996</v>
      </c>
      <c r="E32" s="37">
        <v>1.9830000000000001</v>
      </c>
      <c r="F32" s="1" t="str">
        <f>HYPERLINK("http://www.ncbi.nlm.nih.gov/pubmed/?term=Ddx58","Ddx58")</f>
        <v>Ddx58</v>
      </c>
    </row>
    <row r="33" spans="1:6" x14ac:dyDescent="0.25">
      <c r="A33" t="s">
        <v>1884</v>
      </c>
      <c r="B33" t="s">
        <v>2000</v>
      </c>
      <c r="C33" s="43">
        <v>8.7729999999999997</v>
      </c>
      <c r="D33" s="43">
        <v>9.0190000000000001</v>
      </c>
      <c r="E33" s="9">
        <v>7.4089999999999998</v>
      </c>
      <c r="F33" s="1" t="str">
        <f>HYPERLINK("http://www.ncbi.nlm.nih.gov/pubmed/?term=Jun","Jun")</f>
        <v>Jun</v>
      </c>
    </row>
    <row r="34" spans="1:6" x14ac:dyDescent="0.25">
      <c r="A34" t="s">
        <v>1840</v>
      </c>
      <c r="B34" t="s">
        <v>1579</v>
      </c>
      <c r="C34" s="19">
        <v>5.0369999999999999</v>
      </c>
      <c r="D34" s="15">
        <v>4.2450000000000001</v>
      </c>
      <c r="E34" s="15">
        <v>3.851</v>
      </c>
      <c r="F34" s="1" t="str">
        <f>HYPERLINK("http://www.ncbi.nlm.nih.gov/pubmed/?term=Cdkn1b","Cdkn1b")</f>
        <v>Cdkn1b</v>
      </c>
    </row>
    <row r="35" spans="1:6" x14ac:dyDescent="0.25">
      <c r="A35" t="s">
        <v>24</v>
      </c>
      <c r="B35" t="s">
        <v>655</v>
      </c>
      <c r="C35" s="9">
        <v>6.9450000000000003</v>
      </c>
      <c r="D35" s="3">
        <v>6.3869999999999996</v>
      </c>
      <c r="E35" s="15">
        <v>4.3650000000000002</v>
      </c>
      <c r="F35" s="1" t="str">
        <f>HYPERLINK("http://www.ncbi.nlm.nih.gov/pubmed/?term=Mmp9","Mmp9")</f>
        <v>Mmp9</v>
      </c>
    </row>
    <row r="36" spans="1:6" x14ac:dyDescent="0.25">
      <c r="A36" t="s">
        <v>31</v>
      </c>
      <c r="B36" t="s">
        <v>400</v>
      </c>
      <c r="C36" s="15">
        <v>4.476</v>
      </c>
      <c r="D36" s="15">
        <v>3.5920000000000001</v>
      </c>
      <c r="E36" s="41">
        <v>3.4319999999999999</v>
      </c>
      <c r="F36" s="1" t="str">
        <f>HYPERLINK("http://www.ncbi.nlm.nih.gov/pubmed/?term=Mapk9","Mapk9")</f>
        <v>Mapk9</v>
      </c>
    </row>
    <row r="37" spans="1:6" x14ac:dyDescent="0.25">
      <c r="A37" t="s">
        <v>834</v>
      </c>
      <c r="B37" t="s">
        <v>1552</v>
      </c>
      <c r="C37" s="19">
        <v>4.516</v>
      </c>
      <c r="D37" s="15">
        <v>3.7549999999999999</v>
      </c>
      <c r="E37" s="41">
        <v>3.4649999999999999</v>
      </c>
      <c r="F37" s="1" t="str">
        <f>HYPERLINK("http://www.ncbi.nlm.nih.gov/pubmed/?term=Mapk8","Mapk8")</f>
        <v>Mapk8</v>
      </c>
    </row>
    <row r="38" spans="1:6" x14ac:dyDescent="0.25">
      <c r="A38" t="s">
        <v>233</v>
      </c>
      <c r="B38" t="s">
        <v>1714</v>
      </c>
      <c r="C38" s="9">
        <v>6.734</v>
      </c>
      <c r="D38" s="9">
        <v>6.7110000000000003</v>
      </c>
      <c r="E38" s="19">
        <v>5.4809999999999999</v>
      </c>
      <c r="F38" s="1" t="str">
        <f>HYPERLINK("http://www.ncbi.nlm.nih.gov/pubmed/?term=Stat1","Stat1")</f>
        <v>Stat1</v>
      </c>
    </row>
    <row r="39" spans="1:6" x14ac:dyDescent="0.25">
      <c r="A39" t="s">
        <v>1205</v>
      </c>
      <c r="B39" t="s">
        <v>1329</v>
      </c>
      <c r="C39" s="3">
        <v>5.6820000000000004</v>
      </c>
      <c r="D39" s="19">
        <v>5.0220000000000002</v>
      </c>
      <c r="E39" s="19">
        <v>4.7060000000000004</v>
      </c>
      <c r="F39" s="1" t="str">
        <f>HYPERLINK("http://www.ncbi.nlm.nih.gov/pubmed/?term=Pik3r2","Pik3r2")</f>
        <v>Pik3r2</v>
      </c>
    </row>
    <row r="40" spans="1:6" x14ac:dyDescent="0.25">
      <c r="A40" t="s">
        <v>1620</v>
      </c>
      <c r="B40" t="s">
        <v>1646</v>
      </c>
      <c r="C40" s="15">
        <v>4.484</v>
      </c>
      <c r="D40" s="15">
        <v>3.6629999999999998</v>
      </c>
      <c r="E40" s="41">
        <v>2.92</v>
      </c>
      <c r="F40" s="1" t="str">
        <f>HYPERLINK("http://www.ncbi.nlm.nih.gov/pubmed/?term=Map2k4","Map2k4")</f>
        <v>Map2k4</v>
      </c>
    </row>
    <row r="41" spans="1:6" x14ac:dyDescent="0.25">
      <c r="A41" t="s">
        <v>232</v>
      </c>
      <c r="B41" t="s">
        <v>852</v>
      </c>
      <c r="C41" s="19">
        <v>5.3940000000000001</v>
      </c>
      <c r="D41" s="15">
        <v>3.6669999999999998</v>
      </c>
      <c r="E41" s="41">
        <v>3.407</v>
      </c>
      <c r="F41" s="1" t="str">
        <f>HYPERLINK("http://www.ncbi.nlm.nih.gov/pubmed/?term=Creb3l2","Creb3l2")</f>
        <v>Creb3l2</v>
      </c>
    </row>
    <row r="42" spans="1:6" x14ac:dyDescent="0.25">
      <c r="A42" t="s">
        <v>731</v>
      </c>
      <c r="B42" t="s">
        <v>1330</v>
      </c>
      <c r="C42" s="19">
        <v>4.9180000000000001</v>
      </c>
      <c r="D42" s="19">
        <v>4.8079999999999998</v>
      </c>
      <c r="E42" s="15">
        <v>3.7410000000000001</v>
      </c>
      <c r="F42" s="1" t="str">
        <f>HYPERLINK("http://www.ncbi.nlm.nih.gov/pubmed/?term=Pik3r1","Pik3r1")</f>
        <v>Pik3r1</v>
      </c>
    </row>
    <row r="43" spans="1:6" x14ac:dyDescent="0.25">
      <c r="A43" t="s">
        <v>2024</v>
      </c>
      <c r="B43" t="s">
        <v>15</v>
      </c>
      <c r="C43" s="15">
        <v>3.827</v>
      </c>
      <c r="D43" s="41">
        <v>2.8050000000000002</v>
      </c>
      <c r="E43" s="37">
        <v>2.2109999999999999</v>
      </c>
      <c r="F43" s="1" t="str">
        <f>HYPERLINK("http://www.ncbi.nlm.nih.gov/pubmed/?term=Bcl2","Bcl2")</f>
        <v>Bcl2</v>
      </c>
    </row>
    <row r="44" spans="1:6" x14ac:dyDescent="0.25">
      <c r="A44" t="s">
        <v>1459</v>
      </c>
      <c r="B44" t="s">
        <v>473</v>
      </c>
      <c r="C44" s="41">
        <v>3.3570000000000002</v>
      </c>
      <c r="D44" s="41">
        <v>2.609</v>
      </c>
      <c r="E44" s="15">
        <v>3.7639999999999998</v>
      </c>
      <c r="F44" s="1" t="str">
        <f>HYPERLINK("http://www.ncbi.nlm.nih.gov/pubmed/?term=Tgfb1","Tgfb1")</f>
        <v>Tgfb1</v>
      </c>
    </row>
    <row r="45" spans="1:6" x14ac:dyDescent="0.25">
      <c r="A45" t="s">
        <v>1177</v>
      </c>
      <c r="B45" t="s">
        <v>711</v>
      </c>
      <c r="C45" s="41">
        <v>3.2429999999999999</v>
      </c>
      <c r="D45" s="41">
        <v>2.9780000000000002</v>
      </c>
      <c r="E45" s="19">
        <v>4.7270000000000003</v>
      </c>
      <c r="F45" s="1" t="str">
        <f>HYPERLINK("http://www.ncbi.nlm.nih.gov/pubmed/?term=Stat5b","Stat5b")</f>
        <v>Stat5b</v>
      </c>
    </row>
    <row r="46" spans="1:6" x14ac:dyDescent="0.25">
      <c r="A46" t="s">
        <v>1852</v>
      </c>
      <c r="B46" t="s">
        <v>1070</v>
      </c>
      <c r="C46" s="39">
        <v>7.577</v>
      </c>
      <c r="D46" s="39">
        <v>7.5250000000000004</v>
      </c>
      <c r="E46" s="43">
        <v>9.6739999999999995</v>
      </c>
      <c r="F46" s="1" t="str">
        <f>HYPERLINK("http://www.ncbi.nlm.nih.gov/pubmed/?term=Nfkbia","Nfkbia")</f>
        <v>Nfkbia</v>
      </c>
    </row>
    <row r="47" spans="1:6" x14ac:dyDescent="0.25">
      <c r="A47" t="s">
        <v>1880</v>
      </c>
      <c r="B47" t="s">
        <v>1077</v>
      </c>
      <c r="C47" s="15">
        <v>3.6549999999999998</v>
      </c>
      <c r="D47" s="41">
        <v>3.3140000000000001</v>
      </c>
      <c r="E47" s="3">
        <v>6.2270000000000003</v>
      </c>
      <c r="F47" s="1" t="str">
        <f>HYPERLINK("http://www.ncbi.nlm.nih.gov/pubmed/?term=Prkca","Prkca")</f>
        <v>Prkca</v>
      </c>
    </row>
    <row r="48" spans="1:6" x14ac:dyDescent="0.25">
      <c r="A48" t="s">
        <v>159</v>
      </c>
      <c r="B48" t="s">
        <v>1644</v>
      </c>
      <c r="C48" s="9">
        <v>6.5579999999999998</v>
      </c>
      <c r="D48" s="19">
        <v>4.7640000000000002</v>
      </c>
      <c r="E48" s="19">
        <v>5.4039999999999999</v>
      </c>
      <c r="F48" s="1" t="str">
        <f>HYPERLINK("http://www.ncbi.nlm.nih.gov/pubmed/?term=Map2k1","Map2k1")</f>
        <v>Map2k1</v>
      </c>
    </row>
    <row r="49" spans="1:6" x14ac:dyDescent="0.25">
      <c r="A49" t="s">
        <v>1392</v>
      </c>
      <c r="B49" t="s">
        <v>1354</v>
      </c>
      <c r="C49" s="15">
        <v>3.589</v>
      </c>
      <c r="D49" s="26">
        <v>-5.0990000000000002</v>
      </c>
      <c r="E49" s="37">
        <v>2.1840000000000002</v>
      </c>
      <c r="F49" s="1" t="str">
        <f>HYPERLINK("http://www.ncbi.nlm.nih.gov/pubmed/?term=Ddx3y","Ddx3y")</f>
        <v>Ddx3y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1695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37">
        <v>2.2389999999999999</v>
      </c>
      <c r="D5" s="9">
        <v>7.0960000000000001</v>
      </c>
      <c r="E5" s="19">
        <v>5.49</v>
      </c>
      <c r="F5" s="1" t="str">
        <f>HYPERLINK("http://www.ncbi.nlm.nih.gov/pubmed/?term=Mapk13","Mapk13")</f>
        <v>Mapk13</v>
      </c>
    </row>
    <row r="6" spans="1:6" x14ac:dyDescent="0.25">
      <c r="A6" t="s">
        <v>2016</v>
      </c>
      <c r="B6" t="s">
        <v>1464</v>
      </c>
      <c r="C6" s="26">
        <v>-0.25159999999999999</v>
      </c>
      <c r="D6" s="19">
        <v>4.952</v>
      </c>
      <c r="E6" s="8">
        <v>0.69540000000000002</v>
      </c>
      <c r="F6" s="1" t="str">
        <f>HYPERLINK("http://www.ncbi.nlm.nih.gov/pubmed/?term=Pik3cg","Pik3cg")</f>
        <v>Pik3cg</v>
      </c>
    </row>
    <row r="7" spans="1:6" x14ac:dyDescent="0.25">
      <c r="A7" t="s">
        <v>1335</v>
      </c>
      <c r="B7" t="s">
        <v>1328</v>
      </c>
      <c r="C7" s="8">
        <v>0.53520000000000001</v>
      </c>
      <c r="D7" s="3">
        <v>5.8090000000000002</v>
      </c>
      <c r="E7" s="41">
        <v>2.5489999999999999</v>
      </c>
      <c r="F7" s="1" t="str">
        <f>HYPERLINK("http://www.ncbi.nlm.nih.gov/pubmed/?term=Pik3r5","Pik3r5")</f>
        <v>Pik3r5</v>
      </c>
    </row>
    <row r="8" spans="1:6" x14ac:dyDescent="0.25">
      <c r="A8" t="s">
        <v>914</v>
      </c>
      <c r="B8" t="s">
        <v>1551</v>
      </c>
      <c r="C8" s="37">
        <v>1.845</v>
      </c>
      <c r="D8" s="15">
        <v>4.335</v>
      </c>
      <c r="E8" s="41">
        <v>3.012</v>
      </c>
      <c r="F8" s="1" t="str">
        <f>HYPERLINK("http://www.ncbi.nlm.nih.gov/pubmed/?term=Cldn1","Cldn1")</f>
        <v>Cldn1</v>
      </c>
    </row>
    <row r="9" spans="1:6" x14ac:dyDescent="0.25">
      <c r="A9" t="s">
        <v>611</v>
      </c>
      <c r="B9" t="s">
        <v>1960</v>
      </c>
      <c r="C9" s="8">
        <v>1.1930000000000001</v>
      </c>
      <c r="D9" s="15">
        <v>4.4550000000000001</v>
      </c>
      <c r="E9" s="37">
        <v>1.673</v>
      </c>
      <c r="F9" s="1" t="str">
        <f>HYPERLINK("http://www.ncbi.nlm.nih.gov/pubmed/?term=Oas3","Oas3")</f>
        <v>Oas3</v>
      </c>
    </row>
    <row r="10" spans="1:6" x14ac:dyDescent="0.25">
      <c r="A10" t="s">
        <v>390</v>
      </c>
      <c r="B10" t="s">
        <v>1712</v>
      </c>
      <c r="C10" s="3">
        <v>5.78</v>
      </c>
      <c r="D10" s="9">
        <v>6.601</v>
      </c>
      <c r="E10" s="39">
        <v>7.68</v>
      </c>
      <c r="F10" s="1" t="str">
        <f>HYPERLINK("http://www.ncbi.nlm.nih.gov/pubmed/?term=Stat3","Stat3")</f>
        <v>Stat3</v>
      </c>
    </row>
    <row r="11" spans="1:6" x14ac:dyDescent="0.25">
      <c r="A11" t="s">
        <v>1102</v>
      </c>
      <c r="B11" t="s">
        <v>1253</v>
      </c>
      <c r="C11" s="26">
        <v>-1.546</v>
      </c>
      <c r="D11" s="8">
        <v>0.9718</v>
      </c>
      <c r="E11" s="3">
        <v>5.7430000000000003</v>
      </c>
      <c r="F11" s="1" t="str">
        <f>HYPERLINK("http://www.ncbi.nlm.nih.gov/pubmed/?term=Cldn13","Cldn13")</f>
        <v>Cldn13</v>
      </c>
    </row>
    <row r="12" spans="1:6" x14ac:dyDescent="0.25">
      <c r="A12" t="s">
        <v>1754</v>
      </c>
      <c r="B12" t="s">
        <v>1555</v>
      </c>
      <c r="C12" s="26">
        <v>-0.63449999999999995</v>
      </c>
      <c r="D12" s="19">
        <v>5.0510000000000002</v>
      </c>
      <c r="E12" s="3">
        <v>6.3819999999999997</v>
      </c>
      <c r="F12" s="1" t="str">
        <f>HYPERLINK("http://www.ncbi.nlm.nih.gov/pubmed/?term=Cldn7","Cldn7")</f>
        <v>Cldn7</v>
      </c>
    </row>
    <row r="13" spans="1:6" x14ac:dyDescent="0.25">
      <c r="A13" t="s">
        <v>463</v>
      </c>
      <c r="B13" t="s">
        <v>256</v>
      </c>
      <c r="C13" s="37">
        <v>1.8109999999999999</v>
      </c>
      <c r="D13" s="41">
        <v>2.8540000000000001</v>
      </c>
      <c r="E13" s="15">
        <v>4.3890000000000002</v>
      </c>
      <c r="F13" s="1" t="str">
        <f>HYPERLINK("http://www.ncbi.nlm.nih.gov/pubmed/?term=Ocln","Ocln")</f>
        <v>Ocln</v>
      </c>
    </row>
    <row r="14" spans="1:6" x14ac:dyDescent="0.25">
      <c r="A14" t="s">
        <v>567</v>
      </c>
      <c r="B14" t="s">
        <v>1580</v>
      </c>
      <c r="C14" s="15">
        <v>3.569</v>
      </c>
      <c r="D14" s="3">
        <v>5.556</v>
      </c>
      <c r="E14" s="3">
        <v>6.1470000000000002</v>
      </c>
      <c r="F14" s="1" t="str">
        <f>HYPERLINK("http://www.ncbi.nlm.nih.gov/pubmed/?term=Cdkn1a","Cdkn1a")</f>
        <v>Cdkn1a</v>
      </c>
    </row>
    <row r="15" spans="1:6" x14ac:dyDescent="0.25">
      <c r="A15" t="s">
        <v>656</v>
      </c>
      <c r="B15" t="s">
        <v>1049</v>
      </c>
      <c r="C15" s="26">
        <v>-1.929</v>
      </c>
      <c r="D15" s="8">
        <v>0.65049999999999997</v>
      </c>
      <c r="E15" s="15">
        <v>4.242</v>
      </c>
      <c r="F15" s="1" t="str">
        <f>HYPERLINK("http://www.ncbi.nlm.nih.gov/pubmed/?term=Tnf","Tnf")</f>
        <v>Tnf</v>
      </c>
    </row>
    <row r="16" spans="1:6" x14ac:dyDescent="0.25">
      <c r="A16" t="s">
        <v>2023</v>
      </c>
      <c r="B16" t="s">
        <v>897</v>
      </c>
      <c r="C16" s="15">
        <v>4.37</v>
      </c>
      <c r="D16" s="19">
        <v>5.0970000000000004</v>
      </c>
      <c r="E16" s="19">
        <v>5.4119999999999999</v>
      </c>
      <c r="F16" s="1" t="str">
        <f>HYPERLINK("http://www.ncbi.nlm.nih.gov/pubmed/?term=Hras1","Hras1")</f>
        <v>Hras1</v>
      </c>
    </row>
    <row r="17" spans="1:6" x14ac:dyDescent="0.25">
      <c r="A17" t="s">
        <v>577</v>
      </c>
      <c r="B17" t="s">
        <v>1318</v>
      </c>
      <c r="C17" s="15">
        <v>4.1280000000000001</v>
      </c>
      <c r="D17" s="15">
        <v>4.3479999999999999</v>
      </c>
      <c r="E17" s="19">
        <v>5.4850000000000003</v>
      </c>
      <c r="F17" s="1" t="str">
        <f>HYPERLINK("http://www.ncbi.nlm.nih.gov/pubmed/?term=Traf2","Traf2")</f>
        <v>Traf2</v>
      </c>
    </row>
    <row r="18" spans="1:6" x14ac:dyDescent="0.25">
      <c r="A18" t="s">
        <v>1352</v>
      </c>
      <c r="B18" t="s">
        <v>2160</v>
      </c>
      <c r="C18" s="19">
        <v>4.5460000000000003</v>
      </c>
      <c r="D18" s="19">
        <v>4.9820000000000002</v>
      </c>
      <c r="E18" s="3">
        <v>6.2560000000000002</v>
      </c>
      <c r="F18" s="1" t="str">
        <f>HYPERLINK("http://www.ncbi.nlm.nih.gov/pubmed/?term=Ikbkb","Ikbkb")</f>
        <v>Ikbkb</v>
      </c>
    </row>
    <row r="19" spans="1:6" x14ac:dyDescent="0.25">
      <c r="A19" t="s">
        <v>1607</v>
      </c>
      <c r="B19" t="s">
        <v>386</v>
      </c>
      <c r="C19" s="41">
        <v>2.9220000000000002</v>
      </c>
      <c r="D19" s="41">
        <v>2.9729999999999999</v>
      </c>
      <c r="E19" s="15">
        <v>4.1470000000000002</v>
      </c>
      <c r="F19" s="1" t="str">
        <f>HYPERLINK("http://www.ncbi.nlm.nih.gov/pubmed/?term=Tyk2","Tyk2")</f>
        <v>Tyk2</v>
      </c>
    </row>
    <row r="20" spans="1:6" x14ac:dyDescent="0.25">
      <c r="A20" t="s">
        <v>333</v>
      </c>
      <c r="B20" t="s">
        <v>1460</v>
      </c>
      <c r="C20" s="26">
        <v>0.44829999999999998</v>
      </c>
      <c r="D20" s="37">
        <v>2.1360000000000001</v>
      </c>
      <c r="E20" s="15">
        <v>3.8809999999999998</v>
      </c>
      <c r="F20" s="1" t="str">
        <f>HYPERLINK("http://www.ncbi.nlm.nih.gov/pubmed/?term=Pik3cb","Pik3cb")</f>
        <v>Pik3cb</v>
      </c>
    </row>
    <row r="21" spans="1:6" x14ac:dyDescent="0.25">
      <c r="A21" t="s">
        <v>1287</v>
      </c>
      <c r="B21" t="s">
        <v>2163</v>
      </c>
      <c r="C21" s="8">
        <v>1.2130000000000001</v>
      </c>
      <c r="D21" s="41">
        <v>3.093</v>
      </c>
      <c r="E21" s="15">
        <v>4.367</v>
      </c>
      <c r="F21" s="1" t="str">
        <f>HYPERLINK("http://www.ncbi.nlm.nih.gov/pubmed/?term=Ikbke","Ikbke")</f>
        <v>Ikbke</v>
      </c>
    </row>
    <row r="22" spans="1:6" x14ac:dyDescent="0.25">
      <c r="A22" t="s">
        <v>112</v>
      </c>
      <c r="B22" t="s">
        <v>1554</v>
      </c>
      <c r="C22" s="8">
        <v>0.80320000000000003</v>
      </c>
      <c r="D22" s="19">
        <v>5.2430000000000003</v>
      </c>
      <c r="E22" s="9">
        <v>7.34</v>
      </c>
      <c r="F22" s="1" t="str">
        <f>HYPERLINK("http://www.ncbi.nlm.nih.gov/pubmed/?term=Cldn4","Cldn4")</f>
        <v>Cldn4</v>
      </c>
    </row>
    <row r="23" spans="1:6" x14ac:dyDescent="0.25">
      <c r="A23" t="s">
        <v>1170</v>
      </c>
      <c r="B23" t="s">
        <v>936</v>
      </c>
      <c r="C23" s="8">
        <v>1.103</v>
      </c>
      <c r="D23" s="19">
        <v>5.1909999999999998</v>
      </c>
      <c r="E23" s="3">
        <v>5.53</v>
      </c>
      <c r="F23" s="1" t="str">
        <f>HYPERLINK("http://www.ncbi.nlm.nih.gov/pubmed/?term=Rnasel","Rnasel")</f>
        <v>Rnasel</v>
      </c>
    </row>
    <row r="24" spans="1:6" x14ac:dyDescent="0.25">
      <c r="A24" t="s">
        <v>166</v>
      </c>
      <c r="B24" t="s">
        <v>1553</v>
      </c>
      <c r="C24" s="26">
        <v>-2.06</v>
      </c>
      <c r="D24" s="19">
        <v>4.6829999999999998</v>
      </c>
      <c r="E24" s="3">
        <v>5.657</v>
      </c>
      <c r="F24" s="1" t="str">
        <f>HYPERLINK("http://www.ncbi.nlm.nih.gov/pubmed/?term=Cldn3","Cldn3")</f>
        <v>Cldn3</v>
      </c>
    </row>
    <row r="25" spans="1:6" x14ac:dyDescent="0.25">
      <c r="A25" t="s">
        <v>1897</v>
      </c>
      <c r="B25" t="s">
        <v>125</v>
      </c>
      <c r="C25" s="3">
        <v>5.548</v>
      </c>
      <c r="D25" s="3">
        <v>5.7690000000000001</v>
      </c>
      <c r="E25" s="15">
        <v>3.58</v>
      </c>
      <c r="F25" s="1" t="str">
        <f>HYPERLINK("http://www.ncbi.nlm.nih.gov/pubmed/?term=Irf9","Irf9")</f>
        <v>Irf9</v>
      </c>
    </row>
    <row r="26" spans="1:6" x14ac:dyDescent="0.25">
      <c r="A26" t="s">
        <v>1326</v>
      </c>
      <c r="B26" t="s">
        <v>1699</v>
      </c>
      <c r="C26" s="15">
        <v>4.1829999999999998</v>
      </c>
      <c r="D26" s="19">
        <v>4.7720000000000002</v>
      </c>
      <c r="E26" s="15">
        <v>3.6880000000000002</v>
      </c>
      <c r="F26" s="1" t="str">
        <f>HYPERLINK("http://www.ncbi.nlm.nih.gov/pubmed/?term=Ifnar2","Ifnar2")</f>
        <v>Ifnar2</v>
      </c>
    </row>
    <row r="27" spans="1:6" x14ac:dyDescent="0.25">
      <c r="A27" t="s">
        <v>2063</v>
      </c>
      <c r="B27" t="s">
        <v>733</v>
      </c>
      <c r="C27" s="15">
        <v>4.2809999999999997</v>
      </c>
      <c r="D27" s="15">
        <v>4.3719999999999999</v>
      </c>
      <c r="E27" s="37">
        <v>2.37</v>
      </c>
      <c r="F27" s="1" t="str">
        <f>HYPERLINK("http://www.ncbi.nlm.nih.gov/pubmed/?term=Eif2ak2","Eif2ak2")</f>
        <v>Eif2ak2</v>
      </c>
    </row>
    <row r="28" spans="1:6" x14ac:dyDescent="0.25">
      <c r="A28" t="s">
        <v>1334</v>
      </c>
      <c r="B28" t="s">
        <v>5</v>
      </c>
      <c r="C28" s="41">
        <v>3.4769999999999999</v>
      </c>
      <c r="D28" s="15">
        <v>3.6840000000000002</v>
      </c>
      <c r="E28" s="41">
        <v>2.5219999999999998</v>
      </c>
      <c r="F28" s="1" t="str">
        <f>HYPERLINK("http://www.ncbi.nlm.nih.gov/pubmed/?term=Sos1","Sos1")</f>
        <v>Sos1</v>
      </c>
    </row>
    <row r="29" spans="1:6" x14ac:dyDescent="0.25">
      <c r="A29" t="s">
        <v>2022</v>
      </c>
      <c r="B29" t="s">
        <v>123</v>
      </c>
      <c r="C29" s="15">
        <v>4.4390000000000001</v>
      </c>
      <c r="D29" s="9">
        <v>7.2649999999999997</v>
      </c>
      <c r="E29" s="15">
        <v>3.5259999999999998</v>
      </c>
      <c r="F29" s="1" t="str">
        <f>HYPERLINK("http://www.ncbi.nlm.nih.gov/pubmed/?term=Irf7","Irf7")</f>
        <v>Irf7</v>
      </c>
    </row>
    <row r="30" spans="1:6" x14ac:dyDescent="0.25">
      <c r="A30" t="s">
        <v>424</v>
      </c>
      <c r="B30" t="s">
        <v>796</v>
      </c>
      <c r="C30" s="37">
        <v>1.625</v>
      </c>
      <c r="D30" s="15">
        <v>3.5449999999999999</v>
      </c>
      <c r="E30" s="8">
        <v>1.3049999999999999</v>
      </c>
      <c r="F30" s="1" t="str">
        <f>HYPERLINK("http://www.ncbi.nlm.nih.gov/pubmed/?term=Oas1b","Oas1b")</f>
        <v>Oas1b</v>
      </c>
    </row>
    <row r="31" spans="1:6" x14ac:dyDescent="0.25">
      <c r="A31" t="s">
        <v>2118</v>
      </c>
      <c r="B31" t="s">
        <v>1961</v>
      </c>
      <c r="C31" s="26">
        <v>-2.4249999999999998</v>
      </c>
      <c r="D31" s="15">
        <v>4.0880000000000001</v>
      </c>
      <c r="E31" s="26">
        <v>-2.4369999999999998</v>
      </c>
      <c r="F31" s="1" t="str">
        <f>HYPERLINK("http://www.ncbi.nlm.nih.gov/pubmed/?term=Oas2","Oas2")</f>
        <v>Oas2</v>
      </c>
    </row>
    <row r="32" spans="1:6" x14ac:dyDescent="0.25">
      <c r="A32" t="s">
        <v>1309</v>
      </c>
      <c r="B32" t="s">
        <v>2127</v>
      </c>
      <c r="C32" s="19">
        <v>5.1150000000000002</v>
      </c>
      <c r="D32" s="19">
        <v>5.1840000000000002</v>
      </c>
      <c r="E32" s="15">
        <v>3.8460000000000001</v>
      </c>
      <c r="F32" s="1" t="str">
        <f>HYPERLINK("http://www.ncbi.nlm.nih.gov/pubmed/?term=Cd81","Cd81")</f>
        <v>Cd81</v>
      </c>
    </row>
    <row r="33" spans="1:6" x14ac:dyDescent="0.25">
      <c r="A33" t="s">
        <v>1986</v>
      </c>
      <c r="B33" t="s">
        <v>1713</v>
      </c>
      <c r="C33" s="15">
        <v>4.3099999999999996</v>
      </c>
      <c r="D33" s="3">
        <v>5.56</v>
      </c>
      <c r="E33" s="41">
        <v>3.3860000000000001</v>
      </c>
      <c r="F33" s="1" t="str">
        <f>HYPERLINK("http://www.ncbi.nlm.nih.gov/pubmed/?term=Stat2","Stat2")</f>
        <v>Stat2</v>
      </c>
    </row>
    <row r="34" spans="1:6" x14ac:dyDescent="0.25">
      <c r="A34" t="s">
        <v>575</v>
      </c>
      <c r="B34" t="s">
        <v>1686</v>
      </c>
      <c r="C34" s="19">
        <v>5.3390000000000004</v>
      </c>
      <c r="D34" s="19">
        <v>5.4109999999999996</v>
      </c>
      <c r="E34" s="37">
        <v>1.9830000000000001</v>
      </c>
      <c r="F34" s="1" t="str">
        <f>HYPERLINK("http://www.ncbi.nlm.nih.gov/pubmed/?term=Ddx58","Ddx58")</f>
        <v>Ddx58</v>
      </c>
    </row>
    <row r="35" spans="1:6" x14ac:dyDescent="0.25">
      <c r="A35" t="s">
        <v>1735</v>
      </c>
      <c r="B35" t="s">
        <v>795</v>
      </c>
      <c r="C35" s="41">
        <v>3.1659999999999999</v>
      </c>
      <c r="D35" s="19">
        <v>4.7949999999999999</v>
      </c>
      <c r="E35" s="41">
        <v>2.8849999999999998</v>
      </c>
      <c r="F35" s="1" t="str">
        <f>HYPERLINK("http://www.ncbi.nlm.nih.gov/pubmed/?term=Oas1a","Oas1a")</f>
        <v>Oas1a</v>
      </c>
    </row>
    <row r="36" spans="1:6" x14ac:dyDescent="0.25">
      <c r="A36" t="s">
        <v>1444</v>
      </c>
      <c r="B36" t="s">
        <v>1417</v>
      </c>
      <c r="C36" s="19">
        <v>4.7190000000000003</v>
      </c>
      <c r="D36" s="15">
        <v>4.1989999999999998</v>
      </c>
      <c r="E36" s="41">
        <v>2.794</v>
      </c>
      <c r="F36" s="1" t="str">
        <f>HYPERLINK("http://www.ncbi.nlm.nih.gov/pubmed/?term=Egfr","Egfr")</f>
        <v>Egfr</v>
      </c>
    </row>
    <row r="37" spans="1:6" x14ac:dyDescent="0.25">
      <c r="A37" t="s">
        <v>31</v>
      </c>
      <c r="B37" t="s">
        <v>400</v>
      </c>
      <c r="C37" s="15">
        <v>4.476</v>
      </c>
      <c r="D37" s="15">
        <v>3.5920000000000001</v>
      </c>
      <c r="E37" s="41">
        <v>3.4319999999999999</v>
      </c>
      <c r="F37" s="1" t="str">
        <f>HYPERLINK("http://www.ncbi.nlm.nih.gov/pubmed/?term=Mapk9","Mapk9")</f>
        <v>Mapk9</v>
      </c>
    </row>
    <row r="38" spans="1:6" x14ac:dyDescent="0.25">
      <c r="A38" t="s">
        <v>834</v>
      </c>
      <c r="B38" t="s">
        <v>1552</v>
      </c>
      <c r="C38" s="19">
        <v>4.516</v>
      </c>
      <c r="D38" s="15">
        <v>3.7549999999999999</v>
      </c>
      <c r="E38" s="41">
        <v>3.4649999999999999</v>
      </c>
      <c r="F38" s="1" t="str">
        <f>HYPERLINK("http://www.ncbi.nlm.nih.gov/pubmed/?term=Mapk8","Mapk8")</f>
        <v>Mapk8</v>
      </c>
    </row>
    <row r="39" spans="1:6" x14ac:dyDescent="0.25">
      <c r="A39" t="s">
        <v>101</v>
      </c>
      <c r="B39" t="s">
        <v>988</v>
      </c>
      <c r="C39" s="3">
        <v>5.5229999999999997</v>
      </c>
      <c r="D39" s="15">
        <v>4.4969999999999999</v>
      </c>
      <c r="E39" s="15">
        <v>4.4459999999999997</v>
      </c>
      <c r="F39" s="1" t="str">
        <f>HYPERLINK("http://www.ncbi.nlm.nih.gov/pubmed/?term=Ppp2r2a","Ppp2r2a")</f>
        <v>Ppp2r2a</v>
      </c>
    </row>
    <row r="40" spans="1:6" x14ac:dyDescent="0.25">
      <c r="A40" t="s">
        <v>233</v>
      </c>
      <c r="B40" t="s">
        <v>1714</v>
      </c>
      <c r="C40" s="9">
        <v>6.734</v>
      </c>
      <c r="D40" s="9">
        <v>6.7110000000000003</v>
      </c>
      <c r="E40" s="19">
        <v>5.4809999999999999</v>
      </c>
      <c r="F40" s="1" t="str">
        <f>HYPERLINK("http://www.ncbi.nlm.nih.gov/pubmed/?term=Stat1","Stat1")</f>
        <v>Stat1</v>
      </c>
    </row>
    <row r="41" spans="1:6" x14ac:dyDescent="0.25">
      <c r="A41" t="s">
        <v>242</v>
      </c>
      <c r="B41" t="s">
        <v>997</v>
      </c>
      <c r="C41" s="3">
        <v>6.056</v>
      </c>
      <c r="D41" s="19">
        <v>5.3730000000000002</v>
      </c>
      <c r="E41" s="15">
        <v>4.3070000000000004</v>
      </c>
      <c r="F41" s="1" t="str">
        <f>HYPERLINK("http://www.ncbi.nlm.nih.gov/pubmed/?term=Tnfrsf1a","Tnfrsf1a")</f>
        <v>Tnfrsf1a</v>
      </c>
    </row>
    <row r="42" spans="1:6" x14ac:dyDescent="0.25">
      <c r="A42" t="s">
        <v>1205</v>
      </c>
      <c r="B42" t="s">
        <v>1329</v>
      </c>
      <c r="C42" s="3">
        <v>5.6820000000000004</v>
      </c>
      <c r="D42" s="19">
        <v>5.0220000000000002</v>
      </c>
      <c r="E42" s="19">
        <v>4.7060000000000004</v>
      </c>
      <c r="F42" s="1" t="str">
        <f>HYPERLINK("http://www.ncbi.nlm.nih.gov/pubmed/?term=Pik3r2","Pik3r2")</f>
        <v>Pik3r2</v>
      </c>
    </row>
    <row r="43" spans="1:6" x14ac:dyDescent="0.25">
      <c r="A43" t="s">
        <v>811</v>
      </c>
      <c r="B43" t="s">
        <v>886</v>
      </c>
      <c r="C43" s="19">
        <v>4.8479999999999999</v>
      </c>
      <c r="D43" s="41">
        <v>3.1829999999999998</v>
      </c>
      <c r="E43" s="41">
        <v>2.93</v>
      </c>
      <c r="F43" s="1" t="str">
        <f>HYPERLINK("http://www.ncbi.nlm.nih.gov/pubmed/?term=Ppp2r1b","Ppp2r1b")</f>
        <v>Ppp2r1b</v>
      </c>
    </row>
    <row r="44" spans="1:6" x14ac:dyDescent="0.25">
      <c r="A44" t="s">
        <v>731</v>
      </c>
      <c r="B44" t="s">
        <v>1330</v>
      </c>
      <c r="C44" s="19">
        <v>4.9180000000000001</v>
      </c>
      <c r="D44" s="19">
        <v>4.8079999999999998</v>
      </c>
      <c r="E44" s="15">
        <v>3.7410000000000001</v>
      </c>
      <c r="F44" s="1" t="str">
        <f>HYPERLINK("http://www.ncbi.nlm.nih.gov/pubmed/?term=Pik3r1","Pik3r1")</f>
        <v>Pik3r1</v>
      </c>
    </row>
    <row r="45" spans="1:6" x14ac:dyDescent="0.25">
      <c r="A45" t="s">
        <v>1193</v>
      </c>
      <c r="B45" t="s">
        <v>1547</v>
      </c>
      <c r="C45" s="15">
        <v>3.714</v>
      </c>
      <c r="D45" s="26">
        <v>0.17949999999999999</v>
      </c>
      <c r="E45" s="26">
        <v>-2.9609999999999999</v>
      </c>
      <c r="F45" s="1" t="str">
        <f>HYPERLINK("http://www.ncbi.nlm.nih.gov/pubmed/?term=Cldn8","Cldn8")</f>
        <v>Cldn8</v>
      </c>
    </row>
    <row r="46" spans="1:6" x14ac:dyDescent="0.25">
      <c r="A46" t="s">
        <v>2078</v>
      </c>
      <c r="B46" t="s">
        <v>1565</v>
      </c>
      <c r="C46" s="9">
        <v>7.383</v>
      </c>
      <c r="D46" s="9">
        <v>6.9610000000000003</v>
      </c>
      <c r="E46" s="19">
        <v>5.0860000000000003</v>
      </c>
      <c r="F46" s="1" t="str">
        <f>HYPERLINK("http://www.ncbi.nlm.nih.gov/pubmed/?term=Socs3","Socs3")</f>
        <v>Socs3</v>
      </c>
    </row>
    <row r="47" spans="1:6" x14ac:dyDescent="0.25">
      <c r="A47" t="s">
        <v>1902</v>
      </c>
      <c r="B47" t="s">
        <v>292</v>
      </c>
      <c r="C47" s="19">
        <v>5.4859999999999998</v>
      </c>
      <c r="D47" s="19">
        <v>5.1769999999999996</v>
      </c>
      <c r="E47" s="15">
        <v>4.3440000000000003</v>
      </c>
      <c r="F47" s="1" t="str">
        <f>HYPERLINK("http://www.ncbi.nlm.nih.gov/pubmed/?term=Mapk14","Mapk14")</f>
        <v>Mapk14</v>
      </c>
    </row>
    <row r="48" spans="1:6" x14ac:dyDescent="0.25">
      <c r="A48" t="s">
        <v>1852</v>
      </c>
      <c r="B48" t="s">
        <v>1070</v>
      </c>
      <c r="C48" s="39">
        <v>7.577</v>
      </c>
      <c r="D48" s="39">
        <v>7.5250000000000004</v>
      </c>
      <c r="E48" s="43">
        <v>9.6739999999999995</v>
      </c>
      <c r="F48" s="1" t="str">
        <f>HYPERLINK("http://www.ncbi.nlm.nih.gov/pubmed/?term=Nfkbia","Nfkbia")</f>
        <v>Nfkbia</v>
      </c>
    </row>
    <row r="49" spans="1:6" x14ac:dyDescent="0.25">
      <c r="A49" t="s">
        <v>529</v>
      </c>
      <c r="B49" t="s">
        <v>1321</v>
      </c>
      <c r="C49" s="41">
        <v>3.3559999999999999</v>
      </c>
      <c r="D49" s="41">
        <v>3.198</v>
      </c>
      <c r="E49" s="19">
        <v>5.0339999999999998</v>
      </c>
      <c r="F49" s="1" t="str">
        <f>HYPERLINK("http://www.ncbi.nlm.nih.gov/pubmed/?term=Traf6","Traf6")</f>
        <v>Traf6</v>
      </c>
    </row>
    <row r="50" spans="1:6" x14ac:dyDescent="0.25">
      <c r="A50" t="s">
        <v>2191</v>
      </c>
      <c r="B50" t="s">
        <v>867</v>
      </c>
      <c r="C50" s="15">
        <v>4.2430000000000003</v>
      </c>
      <c r="D50" s="37">
        <v>2.2789999999999999</v>
      </c>
      <c r="E50" s="37">
        <v>2.3780000000000001</v>
      </c>
      <c r="F50" s="1" t="str">
        <f>HYPERLINK("http://www.ncbi.nlm.nih.gov/pubmed/?term=Pdk1","Pdk1")</f>
        <v>Pdk1</v>
      </c>
    </row>
    <row r="51" spans="1:6" x14ac:dyDescent="0.25">
      <c r="A51" t="s">
        <v>1761</v>
      </c>
      <c r="B51" t="s">
        <v>889</v>
      </c>
      <c r="C51" s="39">
        <v>8.4209999999999994</v>
      </c>
      <c r="D51" s="3">
        <v>6.1859999999999999</v>
      </c>
      <c r="E51" s="9">
        <v>6.97</v>
      </c>
      <c r="F51" s="1" t="str">
        <f>HYPERLINK("http://www.ncbi.nlm.nih.gov/pubmed/?term=Irf1","Irf1")</f>
        <v>Irf1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788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2016</v>
      </c>
      <c r="B5" t="s">
        <v>1464</v>
      </c>
      <c r="C5" s="26">
        <v>-0.25159999999999999</v>
      </c>
      <c r="D5" s="19">
        <v>4.952</v>
      </c>
      <c r="E5" s="8">
        <v>0.69540000000000002</v>
      </c>
      <c r="F5" s="1" t="str">
        <f>HYPERLINK("http://www.ncbi.nlm.nih.gov/pubmed/?term=Pik3cg","Pik3cg")</f>
        <v>Pik3cg</v>
      </c>
    </row>
    <row r="6" spans="1:6" x14ac:dyDescent="0.25">
      <c r="A6" t="s">
        <v>1335</v>
      </c>
      <c r="B6" t="s">
        <v>1328</v>
      </c>
      <c r="C6" s="8">
        <v>0.53520000000000001</v>
      </c>
      <c r="D6" s="3">
        <v>5.8090000000000002</v>
      </c>
      <c r="E6" s="41">
        <v>2.5489999999999999</v>
      </c>
      <c r="F6" s="1" t="str">
        <f>HYPERLINK("http://www.ncbi.nlm.nih.gov/pubmed/?term=Pik3r5","Pik3r5")</f>
        <v>Pik3r5</v>
      </c>
    </row>
    <row r="7" spans="1:6" x14ac:dyDescent="0.25">
      <c r="A7" t="s">
        <v>611</v>
      </c>
      <c r="B7" t="s">
        <v>1960</v>
      </c>
      <c r="C7" s="8">
        <v>1.1930000000000001</v>
      </c>
      <c r="D7" s="15">
        <v>4.4550000000000001</v>
      </c>
      <c r="E7" s="37">
        <v>1.673</v>
      </c>
      <c r="F7" s="1" t="str">
        <f>HYPERLINK("http://www.ncbi.nlm.nih.gov/pubmed/?term=Oas3","Oas3")</f>
        <v>Oas3</v>
      </c>
    </row>
    <row r="8" spans="1:6" x14ac:dyDescent="0.25">
      <c r="A8" t="s">
        <v>2029</v>
      </c>
      <c r="B8" t="s">
        <v>1738</v>
      </c>
      <c r="C8" s="26">
        <v>-0.31380000000000002</v>
      </c>
      <c r="D8" s="15">
        <v>4.351</v>
      </c>
      <c r="E8" s="37">
        <v>1.8069999999999999</v>
      </c>
      <c r="F8" s="1" t="str">
        <f>HYPERLINK("http://www.ncbi.nlm.nih.gov/pubmed/?term=Tnfsf10","Tnfsf10")</f>
        <v>Tnfsf10</v>
      </c>
    </row>
    <row r="9" spans="1:6" x14ac:dyDescent="0.25">
      <c r="A9" t="s">
        <v>853</v>
      </c>
      <c r="B9" t="s">
        <v>1990</v>
      </c>
      <c r="C9" s="26">
        <v>2.0140000000000002E-2</v>
      </c>
      <c r="D9" s="19">
        <v>5.3710000000000004</v>
      </c>
      <c r="E9" s="15">
        <v>4.4320000000000004</v>
      </c>
      <c r="F9" s="1" t="str">
        <f>HYPERLINK("http://www.ncbi.nlm.nih.gov/pubmed/?term=Ccnd1","Ccnd1")</f>
        <v>Ccnd1</v>
      </c>
    </row>
    <row r="10" spans="1:6" x14ac:dyDescent="0.25">
      <c r="A10" t="s">
        <v>850</v>
      </c>
      <c r="B10" t="s">
        <v>1615</v>
      </c>
      <c r="C10" s="19">
        <v>5.375</v>
      </c>
      <c r="D10" s="39">
        <v>7.7729999999999997</v>
      </c>
      <c r="E10" s="3">
        <v>6.2270000000000003</v>
      </c>
      <c r="F10" s="1" t="str">
        <f>HYPERLINK("http://www.ncbi.nlm.nih.gov/pubmed/?term=Hspa1b","Hspa1b")</f>
        <v>Hspa1b</v>
      </c>
    </row>
    <row r="11" spans="1:6" x14ac:dyDescent="0.25">
      <c r="A11" t="s">
        <v>1975</v>
      </c>
      <c r="B11" t="s">
        <v>1616</v>
      </c>
      <c r="C11" s="15">
        <v>4.4249999999999998</v>
      </c>
      <c r="D11" s="9">
        <v>6.9690000000000003</v>
      </c>
      <c r="E11" s="19">
        <v>5.39</v>
      </c>
      <c r="F11" s="1" t="str">
        <f>HYPERLINK("http://www.ncbi.nlm.nih.gov/pubmed/?term=Hspa1a","Hspa1a")</f>
        <v>Hspa1a</v>
      </c>
    </row>
    <row r="12" spans="1:6" x14ac:dyDescent="0.25">
      <c r="A12" t="s">
        <v>1657</v>
      </c>
      <c r="B12" t="s">
        <v>1991</v>
      </c>
      <c r="C12" s="19">
        <v>5.4219999999999997</v>
      </c>
      <c r="D12" s="19">
        <v>5.4290000000000003</v>
      </c>
      <c r="E12" s="9">
        <v>6.6429999999999998</v>
      </c>
      <c r="F12" s="1" t="str">
        <f>HYPERLINK("http://www.ncbi.nlm.nih.gov/pubmed/?term=Ccnd2","Ccnd2")</f>
        <v>Ccnd2</v>
      </c>
    </row>
    <row r="13" spans="1:6" x14ac:dyDescent="0.25">
      <c r="A13" t="s">
        <v>1524</v>
      </c>
      <c r="B13" t="s">
        <v>1499</v>
      </c>
      <c r="C13" s="26">
        <v>-3.9929999999999999</v>
      </c>
      <c r="D13" s="26">
        <v>-2.68</v>
      </c>
      <c r="E13" s="41">
        <v>3.4220000000000002</v>
      </c>
      <c r="F13" s="1" t="str">
        <f>HYPERLINK("http://www.ncbi.nlm.nih.gov/pubmed/?term=Il4","Il4")</f>
        <v>Il4</v>
      </c>
    </row>
    <row r="14" spans="1:6" x14ac:dyDescent="0.25">
      <c r="A14" t="s">
        <v>390</v>
      </c>
      <c r="B14" t="s">
        <v>1712</v>
      </c>
      <c r="C14" s="3">
        <v>5.78</v>
      </c>
      <c r="D14" s="9">
        <v>6.601</v>
      </c>
      <c r="E14" s="39">
        <v>7.68</v>
      </c>
      <c r="F14" s="1" t="str">
        <f>HYPERLINK("http://www.ncbi.nlm.nih.gov/pubmed/?term=Stat3","Stat3")</f>
        <v>Stat3</v>
      </c>
    </row>
    <row r="15" spans="1:6" x14ac:dyDescent="0.25">
      <c r="A15" t="s">
        <v>389</v>
      </c>
      <c r="B15" t="s">
        <v>712</v>
      </c>
      <c r="C15" s="37">
        <v>2.3450000000000002</v>
      </c>
      <c r="D15" s="3">
        <v>5.5529999999999999</v>
      </c>
      <c r="E15" s="9">
        <v>6.5759999999999996</v>
      </c>
      <c r="F15" s="1" t="str">
        <f>HYPERLINK("http://www.ncbi.nlm.nih.gov/pubmed/?term=Stat5a","Stat5a")</f>
        <v>Stat5a</v>
      </c>
    </row>
    <row r="16" spans="1:6" x14ac:dyDescent="0.25">
      <c r="A16" t="s">
        <v>690</v>
      </c>
      <c r="B16" t="s">
        <v>930</v>
      </c>
      <c r="C16" s="26">
        <v>-1.9550000000000001</v>
      </c>
      <c r="D16" s="26">
        <v>0.14480000000000001</v>
      </c>
      <c r="E16" s="39">
        <v>7.7869999999999999</v>
      </c>
      <c r="F16" s="1" t="str">
        <f>HYPERLINK("http://www.ncbi.nlm.nih.gov/pubmed/?term=Il13","Il13")</f>
        <v>Il13</v>
      </c>
    </row>
    <row r="17" spans="1:6" x14ac:dyDescent="0.25">
      <c r="A17" t="s">
        <v>1487</v>
      </c>
      <c r="B17" t="s">
        <v>1618</v>
      </c>
      <c r="C17" s="15">
        <v>4.0289999999999999</v>
      </c>
      <c r="D17" s="19">
        <v>4.91</v>
      </c>
      <c r="E17" s="19">
        <v>5.2249999999999996</v>
      </c>
      <c r="F17" s="1" t="str">
        <f>HYPERLINK("http://www.ncbi.nlm.nih.gov/pubmed/?term=Ifngr2","Ifngr2")</f>
        <v>Ifngr2</v>
      </c>
    </row>
    <row r="18" spans="1:6" x14ac:dyDescent="0.25">
      <c r="A18" t="s">
        <v>986</v>
      </c>
      <c r="B18" t="s">
        <v>2073</v>
      </c>
      <c r="C18" s="37">
        <v>2.4039999999999999</v>
      </c>
      <c r="D18" s="15">
        <v>4.0590000000000002</v>
      </c>
      <c r="E18" s="3">
        <v>6.069</v>
      </c>
      <c r="F18" s="1" t="str">
        <f>HYPERLINK("http://www.ncbi.nlm.nih.gov/pubmed/?term=Fas","Fas")</f>
        <v>Fas</v>
      </c>
    </row>
    <row r="19" spans="1:6" x14ac:dyDescent="0.25">
      <c r="A19" t="s">
        <v>375</v>
      </c>
      <c r="B19" t="s">
        <v>741</v>
      </c>
      <c r="C19" s="37">
        <v>1.6140000000000001</v>
      </c>
      <c r="D19" s="15">
        <v>3.7189999999999999</v>
      </c>
      <c r="E19" s="15">
        <v>4.2270000000000003</v>
      </c>
      <c r="F19" s="1" t="str">
        <f>HYPERLINK("http://www.ncbi.nlm.nih.gov/pubmed/?term=Il2ra","Il2ra")</f>
        <v>Il2ra</v>
      </c>
    </row>
    <row r="20" spans="1:6" x14ac:dyDescent="0.25">
      <c r="A20" t="s">
        <v>391</v>
      </c>
      <c r="B20" t="s">
        <v>558</v>
      </c>
      <c r="C20" s="26">
        <v>-2.9940000000000002</v>
      </c>
      <c r="D20" s="26">
        <v>-4.1790000000000001E-2</v>
      </c>
      <c r="E20" s="3">
        <v>6.1180000000000003</v>
      </c>
      <c r="F20" s="1" t="str">
        <f>HYPERLINK("http://www.ncbi.nlm.nih.gov/pubmed/?term=Il12a","Il12a")</f>
        <v>Il12a</v>
      </c>
    </row>
    <row r="21" spans="1:6" x14ac:dyDescent="0.25">
      <c r="A21" t="s">
        <v>98</v>
      </c>
      <c r="B21" t="s">
        <v>1600</v>
      </c>
      <c r="C21" s="15">
        <v>3.8929999999999998</v>
      </c>
      <c r="D21" s="3">
        <v>6.1340000000000003</v>
      </c>
      <c r="E21" s="39">
        <v>8.032</v>
      </c>
      <c r="F21" s="1" t="str">
        <f>HYPERLINK("http://www.ncbi.nlm.nih.gov/pubmed/?term=Msn","Msn")</f>
        <v>Msn</v>
      </c>
    </row>
    <row r="22" spans="1:6" x14ac:dyDescent="0.25">
      <c r="A22" t="s">
        <v>2145</v>
      </c>
      <c r="B22" t="s">
        <v>743</v>
      </c>
      <c r="C22" s="41">
        <v>2.806</v>
      </c>
      <c r="D22" s="41">
        <v>3.2530000000000001</v>
      </c>
      <c r="E22" s="9">
        <v>7.3730000000000002</v>
      </c>
      <c r="F22" s="1" t="str">
        <f>HYPERLINK("http://www.ncbi.nlm.nih.gov/pubmed/?term=Il2rg","Il2rg")</f>
        <v>Il2rg</v>
      </c>
    </row>
    <row r="23" spans="1:6" x14ac:dyDescent="0.25">
      <c r="A23" t="s">
        <v>1607</v>
      </c>
      <c r="B23" t="s">
        <v>386</v>
      </c>
      <c r="C23" s="41">
        <v>2.9220000000000002</v>
      </c>
      <c r="D23" s="41">
        <v>2.9729999999999999</v>
      </c>
      <c r="E23" s="15">
        <v>4.1470000000000002</v>
      </c>
      <c r="F23" s="1" t="str">
        <f>HYPERLINK("http://www.ncbi.nlm.nih.gov/pubmed/?term=Tyk2","Tyk2")</f>
        <v>Tyk2</v>
      </c>
    </row>
    <row r="24" spans="1:6" x14ac:dyDescent="0.25">
      <c r="A24" t="s">
        <v>333</v>
      </c>
      <c r="B24" t="s">
        <v>1460</v>
      </c>
      <c r="C24" s="26">
        <v>0.44829999999999998</v>
      </c>
      <c r="D24" s="37">
        <v>2.1360000000000001</v>
      </c>
      <c r="E24" s="15">
        <v>3.8809999999999998</v>
      </c>
      <c r="F24" s="1" t="str">
        <f>HYPERLINK("http://www.ncbi.nlm.nih.gov/pubmed/?term=Pik3cb","Pik3cb")</f>
        <v>Pik3cb</v>
      </c>
    </row>
    <row r="25" spans="1:6" x14ac:dyDescent="0.25">
      <c r="A25" t="s">
        <v>1287</v>
      </c>
      <c r="B25" t="s">
        <v>2163</v>
      </c>
      <c r="C25" s="8">
        <v>1.2130000000000001</v>
      </c>
      <c r="D25" s="41">
        <v>3.093</v>
      </c>
      <c r="E25" s="15">
        <v>4.367</v>
      </c>
      <c r="F25" s="1" t="str">
        <f>HYPERLINK("http://www.ncbi.nlm.nih.gov/pubmed/?term=Ikbke","Ikbke")</f>
        <v>Ikbke</v>
      </c>
    </row>
    <row r="26" spans="1:6" x14ac:dyDescent="0.25">
      <c r="A26" t="s">
        <v>840</v>
      </c>
      <c r="B26" t="s">
        <v>1445</v>
      </c>
      <c r="C26" s="26">
        <v>-4.0460000000000003</v>
      </c>
      <c r="D26" s="26">
        <v>-8.2879999999999995E-2</v>
      </c>
      <c r="E26" s="19">
        <v>4.6589999999999998</v>
      </c>
      <c r="F26" s="1" t="str">
        <f>HYPERLINK("http://www.ncbi.nlm.nih.gov/pubmed/?term=Tlr9","Tlr9")</f>
        <v>Tlr9</v>
      </c>
    </row>
    <row r="27" spans="1:6" x14ac:dyDescent="0.25">
      <c r="A27" t="s">
        <v>1897</v>
      </c>
      <c r="B27" t="s">
        <v>125</v>
      </c>
      <c r="C27" s="3">
        <v>5.548</v>
      </c>
      <c r="D27" s="3">
        <v>5.7690000000000001</v>
      </c>
      <c r="E27" s="15">
        <v>3.58</v>
      </c>
      <c r="F27" s="1" t="str">
        <f>HYPERLINK("http://www.ncbi.nlm.nih.gov/pubmed/?term=Irf9","Irf9")</f>
        <v>Irf9</v>
      </c>
    </row>
    <row r="28" spans="1:6" x14ac:dyDescent="0.25">
      <c r="A28" t="s">
        <v>174</v>
      </c>
      <c r="B28" t="s">
        <v>1781</v>
      </c>
      <c r="C28" s="19">
        <v>5.423</v>
      </c>
      <c r="D28" s="3">
        <v>5.7480000000000002</v>
      </c>
      <c r="E28" s="15">
        <v>3.5529999999999999</v>
      </c>
      <c r="F28" s="1" t="str">
        <f>HYPERLINK("http://www.ncbi.nlm.nih.gov/pubmed/?term=Tnfaip3","Tnfaip3")</f>
        <v>Tnfaip3</v>
      </c>
    </row>
    <row r="29" spans="1:6" x14ac:dyDescent="0.25">
      <c r="A29" t="s">
        <v>1747</v>
      </c>
      <c r="B29" t="s">
        <v>1617</v>
      </c>
      <c r="C29" s="15">
        <v>4.47</v>
      </c>
      <c r="D29" s="3">
        <v>5.5170000000000003</v>
      </c>
      <c r="E29" s="15">
        <v>3.8849999999999998</v>
      </c>
      <c r="F29" s="1" t="str">
        <f>HYPERLINK("http://www.ncbi.nlm.nih.gov/pubmed/?term=Ifngr1","Ifngr1")</f>
        <v>Ifngr1</v>
      </c>
    </row>
    <row r="30" spans="1:6" x14ac:dyDescent="0.25">
      <c r="A30" t="s">
        <v>1326</v>
      </c>
      <c r="B30" t="s">
        <v>1699</v>
      </c>
      <c r="C30" s="15">
        <v>4.1829999999999998</v>
      </c>
      <c r="D30" s="19">
        <v>4.7720000000000002</v>
      </c>
      <c r="E30" s="15">
        <v>3.6880000000000002</v>
      </c>
      <c r="F30" s="1" t="str">
        <f>HYPERLINK("http://www.ncbi.nlm.nih.gov/pubmed/?term=Ifnar2","Ifnar2")</f>
        <v>Ifnar2</v>
      </c>
    </row>
    <row r="31" spans="1:6" x14ac:dyDescent="0.25">
      <c r="A31" t="s">
        <v>2063</v>
      </c>
      <c r="B31" t="s">
        <v>733</v>
      </c>
      <c r="C31" s="15">
        <v>4.2809999999999997</v>
      </c>
      <c r="D31" s="15">
        <v>4.3719999999999999</v>
      </c>
      <c r="E31" s="37">
        <v>2.37</v>
      </c>
      <c r="F31" s="1" t="str">
        <f>HYPERLINK("http://www.ncbi.nlm.nih.gov/pubmed/?term=Eif2ak2","Eif2ak2")</f>
        <v>Eif2ak2</v>
      </c>
    </row>
    <row r="32" spans="1:6" x14ac:dyDescent="0.25">
      <c r="A32" t="s">
        <v>2022</v>
      </c>
      <c r="B32" t="s">
        <v>123</v>
      </c>
      <c r="C32" s="15">
        <v>4.4390000000000001</v>
      </c>
      <c r="D32" s="9">
        <v>7.2649999999999997</v>
      </c>
      <c r="E32" s="15">
        <v>3.5259999999999998</v>
      </c>
      <c r="F32" s="1" t="str">
        <f>HYPERLINK("http://www.ncbi.nlm.nih.gov/pubmed/?term=Irf7","Irf7")</f>
        <v>Irf7</v>
      </c>
    </row>
    <row r="33" spans="1:6" x14ac:dyDescent="0.25">
      <c r="A33" t="s">
        <v>410</v>
      </c>
      <c r="B33" t="s">
        <v>1801</v>
      </c>
      <c r="C33" s="19">
        <v>4.6349999999999998</v>
      </c>
      <c r="D33" s="19">
        <v>4.7809999999999997</v>
      </c>
      <c r="E33" s="41">
        <v>3.198</v>
      </c>
      <c r="F33" s="1" t="str">
        <f>HYPERLINK("http://www.ncbi.nlm.nih.gov/pubmed/?term=Ifih1","Ifih1")</f>
        <v>Ifih1</v>
      </c>
    </row>
    <row r="34" spans="1:6" x14ac:dyDescent="0.25">
      <c r="A34" t="s">
        <v>719</v>
      </c>
      <c r="B34" t="s">
        <v>1794</v>
      </c>
      <c r="C34" s="19">
        <v>5.3120000000000003</v>
      </c>
      <c r="D34" s="3">
        <v>5.5419999999999998</v>
      </c>
      <c r="E34" s="19">
        <v>4.51</v>
      </c>
      <c r="F34" s="1" t="str">
        <f>HYPERLINK("http://www.ncbi.nlm.nih.gov/pubmed/?term=Adar","Adar")</f>
        <v>Adar</v>
      </c>
    </row>
    <row r="35" spans="1:6" x14ac:dyDescent="0.25">
      <c r="A35" t="s">
        <v>424</v>
      </c>
      <c r="B35" t="s">
        <v>796</v>
      </c>
      <c r="C35" s="37">
        <v>1.625</v>
      </c>
      <c r="D35" s="15">
        <v>3.5449999999999999</v>
      </c>
      <c r="E35" s="8">
        <v>1.3049999999999999</v>
      </c>
      <c r="F35" s="1" t="str">
        <f>HYPERLINK("http://www.ncbi.nlm.nih.gov/pubmed/?term=Oas1b","Oas1b")</f>
        <v>Oas1b</v>
      </c>
    </row>
    <row r="36" spans="1:6" x14ac:dyDescent="0.25">
      <c r="A36" t="s">
        <v>2118</v>
      </c>
      <c r="B36" t="s">
        <v>1961</v>
      </c>
      <c r="C36" s="26">
        <v>-2.4249999999999998</v>
      </c>
      <c r="D36" s="15">
        <v>4.0880000000000001</v>
      </c>
      <c r="E36" s="26">
        <v>-2.4369999999999998</v>
      </c>
      <c r="F36" s="1" t="str">
        <f>HYPERLINK("http://www.ncbi.nlm.nih.gov/pubmed/?term=Oas2","Oas2")</f>
        <v>Oas2</v>
      </c>
    </row>
    <row r="37" spans="1:6" x14ac:dyDescent="0.25">
      <c r="A37" t="s">
        <v>1986</v>
      </c>
      <c r="B37" t="s">
        <v>1713</v>
      </c>
      <c r="C37" s="15">
        <v>4.3099999999999996</v>
      </c>
      <c r="D37" s="3">
        <v>5.56</v>
      </c>
      <c r="E37" s="41">
        <v>3.3860000000000001</v>
      </c>
      <c r="F37" s="1" t="str">
        <f>HYPERLINK("http://www.ncbi.nlm.nih.gov/pubmed/?term=Stat2","Stat2")</f>
        <v>Stat2</v>
      </c>
    </row>
    <row r="38" spans="1:6" x14ac:dyDescent="0.25">
      <c r="A38" t="s">
        <v>575</v>
      </c>
      <c r="B38" t="s">
        <v>1686</v>
      </c>
      <c r="C38" s="19">
        <v>5.3390000000000004</v>
      </c>
      <c r="D38" s="19">
        <v>5.4109999999999996</v>
      </c>
      <c r="E38" s="37">
        <v>1.9830000000000001</v>
      </c>
      <c r="F38" s="1" t="str">
        <f>HYPERLINK("http://www.ncbi.nlm.nih.gov/pubmed/?term=Ddx58","Ddx58")</f>
        <v>Ddx58</v>
      </c>
    </row>
    <row r="39" spans="1:6" x14ac:dyDescent="0.25">
      <c r="A39" t="s">
        <v>1735</v>
      </c>
      <c r="B39" t="s">
        <v>795</v>
      </c>
      <c r="C39" s="41">
        <v>3.1659999999999999</v>
      </c>
      <c r="D39" s="19">
        <v>4.7949999999999999</v>
      </c>
      <c r="E39" s="41">
        <v>2.8849999999999998</v>
      </c>
      <c r="F39" s="1" t="str">
        <f>HYPERLINK("http://www.ncbi.nlm.nih.gov/pubmed/?term=Oas1a","Oas1a")</f>
        <v>Oas1a</v>
      </c>
    </row>
    <row r="40" spans="1:6" x14ac:dyDescent="0.25">
      <c r="A40" t="s">
        <v>1840</v>
      </c>
      <c r="B40" t="s">
        <v>1579</v>
      </c>
      <c r="C40" s="19">
        <v>5.0369999999999999</v>
      </c>
      <c r="D40" s="15">
        <v>4.2450000000000001</v>
      </c>
      <c r="E40" s="15">
        <v>3.851</v>
      </c>
      <c r="F40" s="1" t="str">
        <f>HYPERLINK("http://www.ncbi.nlm.nih.gov/pubmed/?term=Cdkn1b","Cdkn1b")</f>
        <v>Cdkn1b</v>
      </c>
    </row>
    <row r="41" spans="1:6" x14ac:dyDescent="0.25">
      <c r="A41" t="s">
        <v>233</v>
      </c>
      <c r="B41" t="s">
        <v>1714</v>
      </c>
      <c r="C41" s="9">
        <v>6.734</v>
      </c>
      <c r="D41" s="9">
        <v>6.7110000000000003</v>
      </c>
      <c r="E41" s="19">
        <v>5.4809999999999999</v>
      </c>
      <c r="F41" s="1" t="str">
        <f>HYPERLINK("http://www.ncbi.nlm.nih.gov/pubmed/?term=Stat1","Stat1")</f>
        <v>Stat1</v>
      </c>
    </row>
    <row r="42" spans="1:6" x14ac:dyDescent="0.25">
      <c r="A42" t="s">
        <v>1205</v>
      </c>
      <c r="B42" t="s">
        <v>1329</v>
      </c>
      <c r="C42" s="3">
        <v>5.6820000000000004</v>
      </c>
      <c r="D42" s="19">
        <v>5.0220000000000002</v>
      </c>
      <c r="E42" s="19">
        <v>4.7060000000000004</v>
      </c>
      <c r="F42" s="1" t="str">
        <f>HYPERLINK("http://www.ncbi.nlm.nih.gov/pubmed/?term=Pik3r2","Pik3r2")</f>
        <v>Pik3r2</v>
      </c>
    </row>
    <row r="43" spans="1:6" x14ac:dyDescent="0.25">
      <c r="A43" t="s">
        <v>731</v>
      </c>
      <c r="B43" t="s">
        <v>1330</v>
      </c>
      <c r="C43" s="19">
        <v>4.9180000000000001</v>
      </c>
      <c r="D43" s="19">
        <v>4.8079999999999998</v>
      </c>
      <c r="E43" s="15">
        <v>3.7410000000000001</v>
      </c>
      <c r="F43" s="1" t="str">
        <f>HYPERLINK("http://www.ncbi.nlm.nih.gov/pubmed/?term=Pik3r1","Pik3r1")</f>
        <v>Pik3r1</v>
      </c>
    </row>
    <row r="44" spans="1:6" x14ac:dyDescent="0.25">
      <c r="A44" t="s">
        <v>826</v>
      </c>
      <c r="B44" t="s">
        <v>168</v>
      </c>
      <c r="C44" s="37">
        <v>2.4809999999999999</v>
      </c>
      <c r="D44" s="37">
        <v>2.3159999999999998</v>
      </c>
      <c r="E44" s="15">
        <v>3.6549999999999998</v>
      </c>
      <c r="F44" s="1" t="str">
        <f>HYPERLINK("http://www.ncbi.nlm.nih.gov/pubmed/?term=Bbc3","Bbc3")</f>
        <v>Bbc3</v>
      </c>
    </row>
    <row r="45" spans="1:6" x14ac:dyDescent="0.25">
      <c r="A45" t="s">
        <v>1177</v>
      </c>
      <c r="B45" t="s">
        <v>711</v>
      </c>
      <c r="C45" s="41">
        <v>3.2429999999999999</v>
      </c>
      <c r="D45" s="41">
        <v>2.9780000000000002</v>
      </c>
      <c r="E45" s="19">
        <v>4.7270000000000003</v>
      </c>
      <c r="F45" s="1" t="str">
        <f>HYPERLINK("http://www.ncbi.nlm.nih.gov/pubmed/?term=Stat5b","Stat5b")</f>
        <v>Stat5b</v>
      </c>
    </row>
    <row r="46" spans="1:6" x14ac:dyDescent="0.25">
      <c r="A46" t="s">
        <v>1852</v>
      </c>
      <c r="B46" t="s">
        <v>1070</v>
      </c>
      <c r="C46" s="39">
        <v>7.577</v>
      </c>
      <c r="D46" s="39">
        <v>7.5250000000000004</v>
      </c>
      <c r="E46" s="43">
        <v>9.6739999999999995</v>
      </c>
      <c r="F46" s="1" t="str">
        <f>HYPERLINK("http://www.ncbi.nlm.nih.gov/pubmed/?term=Nfkbia","Nfkbia")</f>
        <v>Nfkbia</v>
      </c>
    </row>
    <row r="47" spans="1:6" x14ac:dyDescent="0.25">
      <c r="A47" t="s">
        <v>408</v>
      </c>
      <c r="B47" t="s">
        <v>540</v>
      </c>
      <c r="C47" s="15">
        <v>3.67</v>
      </c>
      <c r="D47" s="41">
        <v>3.2509999999999999</v>
      </c>
      <c r="E47" s="19">
        <v>5.1109999999999998</v>
      </c>
      <c r="F47" s="1" t="str">
        <f>HYPERLINK("http://www.ncbi.nlm.nih.gov/pubmed/?term=Tnfrsf10b","Tnfrsf10b")</f>
        <v>Tnfrsf10b</v>
      </c>
    </row>
    <row r="48" spans="1:6" x14ac:dyDescent="0.25">
      <c r="A48" t="s">
        <v>529</v>
      </c>
      <c r="B48" t="s">
        <v>1321</v>
      </c>
      <c r="C48" s="41">
        <v>3.3559999999999999</v>
      </c>
      <c r="D48" s="41">
        <v>3.198</v>
      </c>
      <c r="E48" s="19">
        <v>5.0339999999999998</v>
      </c>
      <c r="F48" s="1" t="str">
        <f>HYPERLINK("http://www.ncbi.nlm.nih.gov/pubmed/?term=Traf6","Traf6")</f>
        <v>Traf6</v>
      </c>
    </row>
    <row r="49" spans="1:6" x14ac:dyDescent="0.25">
      <c r="A49" t="s">
        <v>1675</v>
      </c>
      <c r="B49" t="s">
        <v>1069</v>
      </c>
      <c r="C49" s="19">
        <v>4.6070000000000002</v>
      </c>
      <c r="D49" s="15">
        <v>3.927</v>
      </c>
      <c r="E49" s="19">
        <v>5.1689999999999996</v>
      </c>
      <c r="F49" s="1" t="str">
        <f>HYPERLINK("http://www.ncbi.nlm.nih.gov/pubmed/?term=Nfkbib","Nfkbib")</f>
        <v>Nfkbib</v>
      </c>
    </row>
    <row r="50" spans="1:6" x14ac:dyDescent="0.25">
      <c r="A50" t="s">
        <v>138</v>
      </c>
      <c r="B50" t="s">
        <v>678</v>
      </c>
      <c r="C50" s="15">
        <v>3.6160000000000001</v>
      </c>
      <c r="D50" s="41">
        <v>3.0579999999999998</v>
      </c>
      <c r="E50" s="19">
        <v>5.1269999999999998</v>
      </c>
      <c r="F50" s="1" t="str">
        <f>HYPERLINK("http://www.ncbi.nlm.nih.gov/pubmed/?term=Dok1","Dok1")</f>
        <v>Dok1</v>
      </c>
    </row>
    <row r="51" spans="1:6" x14ac:dyDescent="0.25">
      <c r="A51" t="s">
        <v>1883</v>
      </c>
      <c r="B51" t="s">
        <v>434</v>
      </c>
      <c r="C51" s="15">
        <v>4.2249999999999996</v>
      </c>
      <c r="D51" s="26">
        <v>0.3417</v>
      </c>
      <c r="E51" s="8">
        <v>0.66310000000000002</v>
      </c>
      <c r="F51" s="1" t="str">
        <f>HYPERLINK("http://www.ncbi.nlm.nih.gov/pubmed/?term=Cd3g","Cd3g")</f>
        <v>Cd3g</v>
      </c>
    </row>
    <row r="52" spans="1:6" x14ac:dyDescent="0.25">
      <c r="A52" t="s">
        <v>374</v>
      </c>
      <c r="B52" t="s">
        <v>1081</v>
      </c>
      <c r="C52" s="15">
        <v>4.33</v>
      </c>
      <c r="D52" s="37">
        <v>1.802</v>
      </c>
      <c r="E52" s="37">
        <v>2.2570000000000001</v>
      </c>
      <c r="F52" s="1" t="str">
        <f>HYPERLINK("http://www.ncbi.nlm.nih.gov/pubmed/?term=Prkcq","Prkcq")</f>
        <v>Prkcq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1957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12">
        <v>2.2389999999999999</v>
      </c>
      <c r="D5" s="29">
        <v>7.0960000000000001</v>
      </c>
      <c r="E5" s="22">
        <v>5.49</v>
      </c>
      <c r="F5" s="1" t="str">
        <f>HYPERLINK("http://www.ncbi.nlm.nih.gov/pubmed/?term=Mapk13","Mapk13")</f>
        <v>Mapk13</v>
      </c>
    </row>
    <row r="6" spans="1:6" x14ac:dyDescent="0.25">
      <c r="A6" t="s">
        <v>1470</v>
      </c>
      <c r="B6" t="s">
        <v>1306</v>
      </c>
      <c r="C6" s="26">
        <v>0.16650000000000001</v>
      </c>
      <c r="D6" s="24">
        <v>7.899</v>
      </c>
      <c r="E6" s="22">
        <v>5.085</v>
      </c>
      <c r="F6" s="1" t="str">
        <f>HYPERLINK("http://www.ncbi.nlm.nih.gov/pubmed/?term=Hspb1","Hspb1")</f>
        <v>Hspb1</v>
      </c>
    </row>
    <row r="7" spans="1:6" x14ac:dyDescent="0.25">
      <c r="A7" t="s">
        <v>2132</v>
      </c>
      <c r="B7" t="s">
        <v>902</v>
      </c>
      <c r="C7" s="26">
        <v>-2.9430000000000001</v>
      </c>
      <c r="D7" s="22">
        <v>4.6980000000000004</v>
      </c>
      <c r="E7" s="48">
        <v>4.4329999999999998</v>
      </c>
      <c r="F7" s="1" t="str">
        <f>HYPERLINK("http://www.ncbi.nlm.nih.gov/pubmed/?term=Fcer2a","Fcer2a")</f>
        <v>Fcer2a</v>
      </c>
    </row>
    <row r="8" spans="1:6" x14ac:dyDescent="0.25">
      <c r="A8" t="s">
        <v>1265</v>
      </c>
      <c r="B8" t="s">
        <v>185</v>
      </c>
      <c r="C8" s="20">
        <v>1.4690000000000001</v>
      </c>
      <c r="D8" s="48">
        <v>4.16</v>
      </c>
      <c r="E8" s="12">
        <v>2.34</v>
      </c>
      <c r="F8" s="1" t="str">
        <f>HYPERLINK("http://www.ncbi.nlm.nih.gov/pubmed/?term=Hdac5","Hdac5")</f>
        <v>Hdac5</v>
      </c>
    </row>
    <row r="9" spans="1:6" x14ac:dyDescent="0.25">
      <c r="A9" t="s">
        <v>1098</v>
      </c>
      <c r="B9" t="s">
        <v>929</v>
      </c>
      <c r="C9" s="26">
        <v>-4.3019999999999996</v>
      </c>
      <c r="D9" s="32">
        <v>3.4460000000000002</v>
      </c>
      <c r="E9" s="12">
        <v>2.1880000000000002</v>
      </c>
      <c r="F9" s="1" t="str">
        <f>HYPERLINK("http://www.ncbi.nlm.nih.gov/pubmed/?term=Il10","Il10")</f>
        <v>Il10</v>
      </c>
    </row>
    <row r="10" spans="1:6" x14ac:dyDescent="0.25">
      <c r="A10" t="s">
        <v>2016</v>
      </c>
      <c r="B10" t="s">
        <v>1464</v>
      </c>
      <c r="C10" s="26">
        <v>-0.25159999999999999</v>
      </c>
      <c r="D10" s="22">
        <v>4.952</v>
      </c>
      <c r="E10" s="20">
        <v>0.69540000000000002</v>
      </c>
      <c r="F10" s="1" t="str">
        <f>HYPERLINK("http://www.ncbi.nlm.nih.gov/pubmed/?term=Pik3cg","Pik3cg")</f>
        <v>Pik3cg</v>
      </c>
    </row>
    <row r="11" spans="1:6" x14ac:dyDescent="0.25">
      <c r="A11" t="s">
        <v>1335</v>
      </c>
      <c r="B11" t="s">
        <v>1328</v>
      </c>
      <c r="C11" s="20">
        <v>0.53520000000000001</v>
      </c>
      <c r="D11" s="25">
        <v>5.8090000000000002</v>
      </c>
      <c r="E11" s="32">
        <v>2.5489999999999999</v>
      </c>
      <c r="F11" s="1" t="str">
        <f>HYPERLINK("http://www.ncbi.nlm.nih.gov/pubmed/?term=Pik3r5","Pik3r5")</f>
        <v>Pik3r5</v>
      </c>
    </row>
    <row r="12" spans="1:6" x14ac:dyDescent="0.25">
      <c r="A12" t="s">
        <v>276</v>
      </c>
      <c r="B12" t="s">
        <v>1181</v>
      </c>
      <c r="C12" s="32">
        <v>2.7959999999999998</v>
      </c>
      <c r="D12" s="22">
        <v>4.8380000000000001</v>
      </c>
      <c r="E12" s="32">
        <v>3.4089999999999998</v>
      </c>
      <c r="F12" s="1" t="str">
        <f>HYPERLINK("http://www.ncbi.nlm.nih.gov/pubmed/?term=Plcg2","Plcg2")</f>
        <v>Plcg2</v>
      </c>
    </row>
    <row r="13" spans="1:6" x14ac:dyDescent="0.25">
      <c r="A13" t="s">
        <v>1789</v>
      </c>
      <c r="B13" t="s">
        <v>1597</v>
      </c>
      <c r="C13" s="26">
        <v>-3.536</v>
      </c>
      <c r="D13" s="22">
        <v>4.5549999999999997</v>
      </c>
      <c r="E13" s="26">
        <v>0.2671</v>
      </c>
      <c r="F13" s="1" t="str">
        <f>HYPERLINK("http://www.ncbi.nlm.nih.gov/pubmed/?term=Entpd3","Entpd3")</f>
        <v>Entpd3</v>
      </c>
    </row>
    <row r="14" spans="1:6" x14ac:dyDescent="0.25">
      <c r="A14" t="s">
        <v>1208</v>
      </c>
      <c r="B14" t="s">
        <v>587</v>
      </c>
      <c r="C14" s="48">
        <v>3.6619999999999999</v>
      </c>
      <c r="D14" s="25">
        <v>5.7629999999999999</v>
      </c>
      <c r="E14" s="48">
        <v>4.4850000000000003</v>
      </c>
      <c r="F14" s="1" t="str">
        <f>HYPERLINK("http://www.ncbi.nlm.nih.gov/pubmed/?term=H2-T22","H2-T22")</f>
        <v>H2-T22</v>
      </c>
    </row>
    <row r="15" spans="1:6" x14ac:dyDescent="0.25">
      <c r="A15" t="s">
        <v>85</v>
      </c>
      <c r="B15" t="s">
        <v>1966</v>
      </c>
      <c r="C15" s="22">
        <v>4.7370000000000001</v>
      </c>
      <c r="D15" s="24">
        <v>8.1150000000000002</v>
      </c>
      <c r="E15" s="24">
        <v>7.9050000000000002</v>
      </c>
      <c r="F15" s="1" t="str">
        <f>HYPERLINK("http://www.ncbi.nlm.nih.gov/pubmed/?term=H2-Q6","H2-Q6")</f>
        <v>H2-Q6</v>
      </c>
    </row>
    <row r="16" spans="1:6" x14ac:dyDescent="0.25">
      <c r="A16" t="s">
        <v>850</v>
      </c>
      <c r="B16" t="s">
        <v>1615</v>
      </c>
      <c r="C16" s="22">
        <v>5.375</v>
      </c>
      <c r="D16" s="24">
        <v>7.7729999999999997</v>
      </c>
      <c r="E16" s="25">
        <v>6.2270000000000003</v>
      </c>
      <c r="F16" s="1" t="str">
        <f>HYPERLINK("http://www.ncbi.nlm.nih.gov/pubmed/?term=Hspa1b","Hspa1b")</f>
        <v>Hspa1b</v>
      </c>
    </row>
    <row r="17" spans="1:6" x14ac:dyDescent="0.25">
      <c r="A17" t="s">
        <v>1975</v>
      </c>
      <c r="B17" t="s">
        <v>1616</v>
      </c>
      <c r="C17" s="48">
        <v>4.4249999999999998</v>
      </c>
      <c r="D17" s="29">
        <v>6.9690000000000003</v>
      </c>
      <c r="E17" s="22">
        <v>5.39</v>
      </c>
      <c r="F17" s="1" t="str">
        <f>HYPERLINK("http://www.ncbi.nlm.nih.gov/pubmed/?term=Hspa1a","Hspa1a")</f>
        <v>Hspa1a</v>
      </c>
    </row>
    <row r="18" spans="1:6" x14ac:dyDescent="0.25">
      <c r="A18" t="s">
        <v>1790</v>
      </c>
      <c r="B18" t="s">
        <v>580</v>
      </c>
      <c r="C18" s="25">
        <v>5.5129999999999999</v>
      </c>
      <c r="D18" s="25">
        <v>5.7859999999999996</v>
      </c>
      <c r="E18" s="29">
        <v>7.468</v>
      </c>
      <c r="F18" s="1" t="str">
        <f>HYPERLINK("http://www.ncbi.nlm.nih.gov/pubmed/?term=Relb","Relb")</f>
        <v>Relb</v>
      </c>
    </row>
    <row r="19" spans="1:6" x14ac:dyDescent="0.25">
      <c r="A19" t="s">
        <v>390</v>
      </c>
      <c r="B19" t="s">
        <v>1712</v>
      </c>
      <c r="C19" s="25">
        <v>5.78</v>
      </c>
      <c r="D19" s="29">
        <v>6.601</v>
      </c>
      <c r="E19" s="24">
        <v>7.68</v>
      </c>
      <c r="F19" s="1" t="str">
        <f>HYPERLINK("http://www.ncbi.nlm.nih.gov/pubmed/?term=Stat3","Stat3")</f>
        <v>Stat3</v>
      </c>
    </row>
    <row r="20" spans="1:6" x14ac:dyDescent="0.25">
      <c r="A20" t="s">
        <v>926</v>
      </c>
      <c r="B20" t="s">
        <v>1104</v>
      </c>
      <c r="C20" s="48">
        <v>3.8570000000000002</v>
      </c>
      <c r="D20" s="22">
        <v>4.992</v>
      </c>
      <c r="E20" s="25">
        <v>5.6529999999999996</v>
      </c>
      <c r="F20" s="1" t="str">
        <f>HYPERLINK("http://www.ncbi.nlm.nih.gov/pubmed/?term=H2-M3","H2-M3")</f>
        <v>H2-M3</v>
      </c>
    </row>
    <row r="21" spans="1:6" x14ac:dyDescent="0.25">
      <c r="A21" t="s">
        <v>1861</v>
      </c>
      <c r="B21" t="s">
        <v>1105</v>
      </c>
      <c r="C21" s="48">
        <v>4.3949999999999996</v>
      </c>
      <c r="D21" s="29">
        <v>6.8019999999999996</v>
      </c>
      <c r="E21" s="29">
        <v>7.444</v>
      </c>
      <c r="F21" s="1" t="str">
        <f>HYPERLINK("http://www.ncbi.nlm.nih.gov/pubmed/?term=H2-M2","H2-M2")</f>
        <v>H2-M2</v>
      </c>
    </row>
    <row r="22" spans="1:6" x14ac:dyDescent="0.25">
      <c r="A22" t="s">
        <v>1599</v>
      </c>
      <c r="B22" t="s">
        <v>225</v>
      </c>
      <c r="C22" s="20">
        <v>0.73909999999999998</v>
      </c>
      <c r="D22" s="32">
        <v>3.1890000000000001</v>
      </c>
      <c r="E22" s="22">
        <v>4.5190000000000001</v>
      </c>
      <c r="F22" s="1" t="str">
        <f>HYPERLINK("http://www.ncbi.nlm.nih.gov/pubmed/?term=Syk","Syk")</f>
        <v>Syk</v>
      </c>
    </row>
    <row r="23" spans="1:6" x14ac:dyDescent="0.25">
      <c r="A23" t="s">
        <v>567</v>
      </c>
      <c r="B23" t="s">
        <v>1580</v>
      </c>
      <c r="C23" s="48">
        <v>3.569</v>
      </c>
      <c r="D23" s="25">
        <v>5.556</v>
      </c>
      <c r="E23" s="25">
        <v>6.1470000000000002</v>
      </c>
      <c r="F23" s="1" t="str">
        <f>HYPERLINK("http://www.ncbi.nlm.nih.gov/pubmed/?term=Cdkn1a","Cdkn1a")</f>
        <v>Cdkn1a</v>
      </c>
    </row>
    <row r="24" spans="1:6" x14ac:dyDescent="0.25">
      <c r="A24" t="s">
        <v>1851</v>
      </c>
      <c r="B24" t="s">
        <v>1249</v>
      </c>
      <c r="C24" s="25">
        <v>6.2190000000000003</v>
      </c>
      <c r="D24" s="25">
        <v>6.3710000000000004</v>
      </c>
      <c r="E24" s="24">
        <v>7.9530000000000003</v>
      </c>
      <c r="F24" s="1" t="str">
        <f>HYPERLINK("http://www.ncbi.nlm.nih.gov/pubmed/?term=Nfkb2","Nfkb2")</f>
        <v>Nfkb2</v>
      </c>
    </row>
    <row r="25" spans="1:6" x14ac:dyDescent="0.25">
      <c r="A25" t="s">
        <v>1168</v>
      </c>
      <c r="B25" t="s">
        <v>322</v>
      </c>
      <c r="C25" s="26">
        <v>-3.5329999999999999</v>
      </c>
      <c r="D25" s="32">
        <v>2.552</v>
      </c>
      <c r="E25" s="48">
        <v>3.6709999999999998</v>
      </c>
      <c r="F25" s="1" t="str">
        <f>HYPERLINK("http://www.ncbi.nlm.nih.gov/pubmed/?term=Cr2","Cr2")</f>
        <v>Cr2</v>
      </c>
    </row>
    <row r="26" spans="1:6" x14ac:dyDescent="0.25">
      <c r="A26" t="s">
        <v>1151</v>
      </c>
      <c r="B26" t="s">
        <v>171</v>
      </c>
      <c r="C26" s="32">
        <v>3.4009999999999998</v>
      </c>
      <c r="D26" s="29">
        <v>6.8520000000000003</v>
      </c>
      <c r="E26" s="24">
        <v>7.5110000000000001</v>
      </c>
      <c r="F26" s="1" t="str">
        <f>HYPERLINK("http://www.ncbi.nlm.nih.gov/pubmed/?term=Vim","Vim")</f>
        <v>Vim</v>
      </c>
    </row>
    <row r="27" spans="1:6" x14ac:dyDescent="0.25">
      <c r="A27" t="s">
        <v>1226</v>
      </c>
      <c r="B27" t="s">
        <v>1317</v>
      </c>
      <c r="C27" s="26">
        <v>-0.19309999999999999</v>
      </c>
      <c r="D27" s="48">
        <v>3.6419999999999999</v>
      </c>
      <c r="E27" s="25">
        <v>5.7389999999999999</v>
      </c>
      <c r="F27" s="1" t="str">
        <f>HYPERLINK("http://www.ncbi.nlm.nih.gov/pubmed/?term=Traf1","Traf1")</f>
        <v>Traf1</v>
      </c>
    </row>
    <row r="28" spans="1:6" x14ac:dyDescent="0.25">
      <c r="A28" t="s">
        <v>577</v>
      </c>
      <c r="B28" t="s">
        <v>1318</v>
      </c>
      <c r="C28" s="48">
        <v>4.1280000000000001</v>
      </c>
      <c r="D28" s="48">
        <v>4.3479999999999999</v>
      </c>
      <c r="E28" s="22">
        <v>5.4850000000000003</v>
      </c>
      <c r="F28" s="1" t="str">
        <f>HYPERLINK("http://www.ncbi.nlm.nih.gov/pubmed/?term=Traf2","Traf2")</f>
        <v>Traf2</v>
      </c>
    </row>
    <row r="29" spans="1:6" x14ac:dyDescent="0.25">
      <c r="A29" t="s">
        <v>1200</v>
      </c>
      <c r="B29" t="s">
        <v>295</v>
      </c>
      <c r="C29" s="12">
        <v>1.873</v>
      </c>
      <c r="D29" s="12">
        <v>1.946</v>
      </c>
      <c r="E29" s="32">
        <v>3.484</v>
      </c>
      <c r="F29" s="1" t="str">
        <f>HYPERLINK("http://www.ncbi.nlm.nih.gov/pubmed/?term=Itgal","Itgal")</f>
        <v>Itgal</v>
      </c>
    </row>
    <row r="30" spans="1:6" x14ac:dyDescent="0.25">
      <c r="A30" t="s">
        <v>1352</v>
      </c>
      <c r="B30" t="s">
        <v>2160</v>
      </c>
      <c r="C30" s="22">
        <v>4.5460000000000003</v>
      </c>
      <c r="D30" s="22">
        <v>4.9820000000000002</v>
      </c>
      <c r="E30" s="25">
        <v>6.2560000000000002</v>
      </c>
      <c r="F30" s="1" t="str">
        <f>HYPERLINK("http://www.ncbi.nlm.nih.gov/pubmed/?term=Ikbkb","Ikbkb")</f>
        <v>Ikbkb</v>
      </c>
    </row>
    <row r="31" spans="1:6" x14ac:dyDescent="0.25">
      <c r="A31" t="s">
        <v>1279</v>
      </c>
      <c r="B31" t="s">
        <v>919</v>
      </c>
      <c r="C31" s="26">
        <v>-2.2109999999999999</v>
      </c>
      <c r="D31" s="26">
        <v>-0.16819999999999999</v>
      </c>
      <c r="E31" s="48">
        <v>3.6920000000000002</v>
      </c>
      <c r="F31" s="1" t="str">
        <f>HYPERLINK("http://www.ncbi.nlm.nih.gov/pubmed/?term=Il10ra","Il10ra")</f>
        <v>Il10ra</v>
      </c>
    </row>
    <row r="32" spans="1:6" x14ac:dyDescent="0.25">
      <c r="A32" t="s">
        <v>1607</v>
      </c>
      <c r="B32" t="s">
        <v>386</v>
      </c>
      <c r="C32" s="32">
        <v>2.9220000000000002</v>
      </c>
      <c r="D32" s="32">
        <v>2.9729999999999999</v>
      </c>
      <c r="E32" s="48">
        <v>4.1470000000000002</v>
      </c>
      <c r="F32" s="1" t="str">
        <f>HYPERLINK("http://www.ncbi.nlm.nih.gov/pubmed/?term=Tyk2","Tyk2")</f>
        <v>Tyk2</v>
      </c>
    </row>
    <row r="33" spans="1:6" x14ac:dyDescent="0.25">
      <c r="A33" t="s">
        <v>333</v>
      </c>
      <c r="B33" t="s">
        <v>1460</v>
      </c>
      <c r="C33" s="26">
        <v>0.44829999999999998</v>
      </c>
      <c r="D33" s="12">
        <v>2.1360000000000001</v>
      </c>
      <c r="E33" s="48">
        <v>3.8809999999999998</v>
      </c>
      <c r="F33" s="1" t="str">
        <f>HYPERLINK("http://www.ncbi.nlm.nih.gov/pubmed/?term=Pik3cb","Pik3cb")</f>
        <v>Pik3cb</v>
      </c>
    </row>
    <row r="34" spans="1:6" x14ac:dyDescent="0.25">
      <c r="A34" t="s">
        <v>1440</v>
      </c>
      <c r="B34" t="s">
        <v>873</v>
      </c>
      <c r="C34" s="32">
        <v>2.964</v>
      </c>
      <c r="D34" s="48">
        <v>3.5249999999999999</v>
      </c>
      <c r="E34" s="22">
        <v>4.9039999999999999</v>
      </c>
      <c r="F34" s="1" t="str">
        <f>HYPERLINK("http://www.ncbi.nlm.nih.gov/pubmed/?term=Rbpj","Rbpj")</f>
        <v>Rbpj</v>
      </c>
    </row>
    <row r="35" spans="1:6" x14ac:dyDescent="0.25">
      <c r="A35" t="s">
        <v>1116</v>
      </c>
      <c r="B35" t="s">
        <v>432</v>
      </c>
      <c r="C35" s="20">
        <v>1.321</v>
      </c>
      <c r="D35" s="32">
        <v>3.4740000000000002</v>
      </c>
      <c r="E35" s="48">
        <v>3.508</v>
      </c>
      <c r="F35" s="1" t="str">
        <f>HYPERLINK("http://www.ncbi.nlm.nih.gov/pubmed/?term=Lyn","Lyn")</f>
        <v>Lyn</v>
      </c>
    </row>
    <row r="36" spans="1:6" x14ac:dyDescent="0.25">
      <c r="A36" t="s">
        <v>1311</v>
      </c>
      <c r="B36" t="s">
        <v>1431</v>
      </c>
      <c r="C36" s="48">
        <v>4.4509999999999996</v>
      </c>
      <c r="D36" s="24">
        <v>8.4649999999999999</v>
      </c>
      <c r="E36" s="46">
        <v>8.5500000000000007</v>
      </c>
      <c r="F36" s="1" t="str">
        <f>HYPERLINK("http://www.ncbi.nlm.nih.gov/pubmed/?term=H2-Q7","H2-Q7")</f>
        <v>H2-Q7</v>
      </c>
    </row>
    <row r="37" spans="1:6" x14ac:dyDescent="0.25">
      <c r="A37" t="s">
        <v>300</v>
      </c>
      <c r="B37" t="s">
        <v>809</v>
      </c>
      <c r="C37" s="46">
        <v>8.6720000000000006</v>
      </c>
      <c r="D37" s="43">
        <v>10.43</v>
      </c>
      <c r="E37" s="43">
        <v>10.72</v>
      </c>
      <c r="F37" s="1" t="str">
        <f>HYPERLINK("http://www.ncbi.nlm.nih.gov/pubmed/?term=H2-K1","H2-K1")</f>
        <v>H2-K1</v>
      </c>
    </row>
    <row r="38" spans="1:6" x14ac:dyDescent="0.25">
      <c r="A38" t="s">
        <v>216</v>
      </c>
      <c r="B38" t="s">
        <v>586</v>
      </c>
      <c r="C38" s="29">
        <v>6.7060000000000004</v>
      </c>
      <c r="D38" s="24">
        <v>7.649</v>
      </c>
      <c r="E38" s="24">
        <v>7.8150000000000004</v>
      </c>
      <c r="F38" s="1" t="str">
        <f>HYPERLINK("http://www.ncbi.nlm.nih.gov/pubmed/?term=H2-T23","H2-T23")</f>
        <v>H2-T23</v>
      </c>
    </row>
    <row r="39" spans="1:6" x14ac:dyDescent="0.25">
      <c r="A39" t="s">
        <v>2141</v>
      </c>
      <c r="B39" t="s">
        <v>157</v>
      </c>
      <c r="C39" s="12">
        <v>2.1930000000000001</v>
      </c>
      <c r="D39" s="48">
        <v>4.2409999999999997</v>
      </c>
      <c r="E39" s="22">
        <v>4.5410000000000004</v>
      </c>
      <c r="F39" s="1" t="str">
        <f>HYPERLINK("http://www.ncbi.nlm.nih.gov/pubmed/?term=H2-Q10","H2-Q10")</f>
        <v>H2-Q10</v>
      </c>
    </row>
    <row r="40" spans="1:6" x14ac:dyDescent="0.25">
      <c r="A40" t="s">
        <v>247</v>
      </c>
      <c r="B40" t="s">
        <v>265</v>
      </c>
      <c r="C40" s="24">
        <v>8.1630000000000003</v>
      </c>
      <c r="D40" s="43">
        <v>10.1</v>
      </c>
      <c r="E40" s="43">
        <v>10.33</v>
      </c>
      <c r="F40" s="1" t="str">
        <f>HYPERLINK("http://www.ncbi.nlm.nih.gov/pubmed/?term=H2-D1","H2-D1")</f>
        <v>H2-D1</v>
      </c>
    </row>
    <row r="41" spans="1:6" x14ac:dyDescent="0.25">
      <c r="A41" t="s">
        <v>1504</v>
      </c>
      <c r="B41" t="s">
        <v>1434</v>
      </c>
      <c r="C41" s="32">
        <v>3.0409999999999999</v>
      </c>
      <c r="D41" s="48">
        <v>3.6920000000000002</v>
      </c>
      <c r="E41" s="48">
        <v>3.9689999999999999</v>
      </c>
      <c r="F41" s="1" t="str">
        <f>HYPERLINK("http://www.ncbi.nlm.nih.gov/pubmed/?term=H2-Q2","H2-Q2")</f>
        <v>H2-Q2</v>
      </c>
    </row>
    <row r="42" spans="1:6" x14ac:dyDescent="0.25">
      <c r="A42" t="s">
        <v>339</v>
      </c>
      <c r="B42" t="s">
        <v>249</v>
      </c>
      <c r="C42" s="22">
        <v>5.0460000000000003</v>
      </c>
      <c r="D42" s="25">
        <v>5.6239999999999997</v>
      </c>
      <c r="E42" s="22">
        <v>4.5259999999999998</v>
      </c>
      <c r="F42" s="1" t="str">
        <f>HYPERLINK("http://www.ncbi.nlm.nih.gov/pubmed/?term=Cd44","Cd44")</f>
        <v>Cd44</v>
      </c>
    </row>
    <row r="43" spans="1:6" x14ac:dyDescent="0.25">
      <c r="A43" t="s">
        <v>174</v>
      </c>
      <c r="B43" t="s">
        <v>1781</v>
      </c>
      <c r="C43" s="22">
        <v>5.423</v>
      </c>
      <c r="D43" s="25">
        <v>5.7480000000000002</v>
      </c>
      <c r="E43" s="48">
        <v>3.5529999999999999</v>
      </c>
      <c r="F43" s="1" t="str">
        <f>HYPERLINK("http://www.ncbi.nlm.nih.gov/pubmed/?term=Tnfaip3","Tnfaip3")</f>
        <v>Tnfaip3</v>
      </c>
    </row>
    <row r="44" spans="1:6" x14ac:dyDescent="0.25">
      <c r="A44" t="s">
        <v>2063</v>
      </c>
      <c r="B44" t="s">
        <v>733</v>
      </c>
      <c r="C44" s="48">
        <v>4.2809999999999997</v>
      </c>
      <c r="D44" s="48">
        <v>4.3719999999999999</v>
      </c>
      <c r="E44" s="12">
        <v>2.37</v>
      </c>
      <c r="F44" s="1" t="str">
        <f>HYPERLINK("http://www.ncbi.nlm.nih.gov/pubmed/?term=Eif2ak2","Eif2ak2")</f>
        <v>Eif2ak2</v>
      </c>
    </row>
    <row r="45" spans="1:6" x14ac:dyDescent="0.25">
      <c r="A45" t="s">
        <v>575</v>
      </c>
      <c r="B45" t="s">
        <v>1686</v>
      </c>
      <c r="C45" s="22">
        <v>5.3390000000000004</v>
      </c>
      <c r="D45" s="22">
        <v>5.4109999999999996</v>
      </c>
      <c r="E45" s="12">
        <v>1.9830000000000001</v>
      </c>
      <c r="F45" s="1" t="str">
        <f>HYPERLINK("http://www.ncbi.nlm.nih.gov/pubmed/?term=Ddx58","Ddx58")</f>
        <v>Ddx58</v>
      </c>
    </row>
    <row r="46" spans="1:6" x14ac:dyDescent="0.25">
      <c r="A46" t="s">
        <v>1884</v>
      </c>
      <c r="B46" t="s">
        <v>2000</v>
      </c>
      <c r="C46" s="46">
        <v>8.7729999999999997</v>
      </c>
      <c r="D46" s="46">
        <v>9.0190000000000001</v>
      </c>
      <c r="E46" s="29">
        <v>7.4089999999999998</v>
      </c>
      <c r="F46" s="1" t="str">
        <f>HYPERLINK("http://www.ncbi.nlm.nih.gov/pubmed/?term=Jun","Jun")</f>
        <v>Jun</v>
      </c>
    </row>
    <row r="47" spans="1:6" x14ac:dyDescent="0.25">
      <c r="A47" t="s">
        <v>1840</v>
      </c>
      <c r="B47" t="s">
        <v>1579</v>
      </c>
      <c r="C47" s="22">
        <v>5.0369999999999999</v>
      </c>
      <c r="D47" s="48">
        <v>4.2450000000000001</v>
      </c>
      <c r="E47" s="48">
        <v>3.851</v>
      </c>
      <c r="F47" s="1" t="str">
        <f>HYPERLINK("http://www.ncbi.nlm.nih.gov/pubmed/?term=Cdkn1b","Cdkn1b")</f>
        <v>Cdkn1b</v>
      </c>
    </row>
    <row r="48" spans="1:6" x14ac:dyDescent="0.25">
      <c r="A48" t="s">
        <v>1506</v>
      </c>
      <c r="B48" t="s">
        <v>1331</v>
      </c>
      <c r="C48" s="22">
        <v>4.74</v>
      </c>
      <c r="D48" s="48">
        <v>3.9580000000000002</v>
      </c>
      <c r="E48" s="32">
        <v>2.786</v>
      </c>
      <c r="F48" s="1" t="str">
        <f>HYPERLINK("http://www.ncbi.nlm.nih.gov/pubmed/?term=Prkacb","Prkacb")</f>
        <v>Prkacb</v>
      </c>
    </row>
    <row r="49" spans="1:6" x14ac:dyDescent="0.25">
      <c r="A49" t="s">
        <v>78</v>
      </c>
      <c r="B49" t="s">
        <v>1182</v>
      </c>
      <c r="C49" s="22">
        <v>4.6639999999999997</v>
      </c>
      <c r="D49" s="22">
        <v>4.6269999999999998</v>
      </c>
      <c r="E49" s="32">
        <v>2.9020000000000001</v>
      </c>
      <c r="F49" s="1" t="str">
        <f>HYPERLINK("http://www.ncbi.nlm.nih.gov/pubmed/?term=Plcg1","Plcg1")</f>
        <v>Plcg1</v>
      </c>
    </row>
    <row r="50" spans="1:6" x14ac:dyDescent="0.25">
      <c r="A50" t="s">
        <v>668</v>
      </c>
      <c r="B50" t="s">
        <v>2179</v>
      </c>
      <c r="C50" s="29">
        <v>7.0090000000000003</v>
      </c>
      <c r="D50" s="25">
        <v>5.7519999999999998</v>
      </c>
      <c r="E50" s="25">
        <v>5.6970000000000001</v>
      </c>
      <c r="F50" s="1" t="str">
        <f>HYPERLINK("http://www.ncbi.nlm.nih.gov/pubmed/?term=Psmd11","Psmd11")</f>
        <v>Psmd11</v>
      </c>
    </row>
    <row r="51" spans="1:6" x14ac:dyDescent="0.25">
      <c r="A51" t="s">
        <v>31</v>
      </c>
      <c r="B51" t="s">
        <v>400</v>
      </c>
      <c r="C51" s="48">
        <v>4.476</v>
      </c>
      <c r="D51" s="48">
        <v>3.5920000000000001</v>
      </c>
      <c r="E51" s="32">
        <v>3.4319999999999999</v>
      </c>
      <c r="F51" s="1" t="str">
        <f>HYPERLINK("http://www.ncbi.nlm.nih.gov/pubmed/?term=Mapk9","Mapk9")</f>
        <v>Mapk9</v>
      </c>
    </row>
    <row r="52" spans="1:6" x14ac:dyDescent="0.25">
      <c r="A52" t="s">
        <v>464</v>
      </c>
      <c r="B52" t="s">
        <v>2180</v>
      </c>
      <c r="C52" s="25">
        <v>6.1769999999999996</v>
      </c>
      <c r="D52" s="22">
        <v>4.8540000000000001</v>
      </c>
      <c r="E52" s="22">
        <v>4.8220000000000001</v>
      </c>
      <c r="F52" s="1" t="str">
        <f>HYPERLINK("http://www.ncbi.nlm.nih.gov/pubmed/?term=Psmd12","Psmd12")</f>
        <v>Psmd12</v>
      </c>
    </row>
    <row r="53" spans="1:6" x14ac:dyDescent="0.25">
      <c r="A53" t="s">
        <v>2011</v>
      </c>
      <c r="B53" t="s">
        <v>702</v>
      </c>
      <c r="C53" s="22">
        <v>4.7270000000000003</v>
      </c>
      <c r="D53" s="48">
        <v>4.0330000000000004</v>
      </c>
      <c r="E53" s="32">
        <v>3.4249999999999998</v>
      </c>
      <c r="F53" s="1" t="str">
        <f>HYPERLINK("http://www.ncbi.nlm.nih.gov/pubmed/?term=Polr2h","Polr2h")</f>
        <v>Polr2h</v>
      </c>
    </row>
    <row r="54" spans="1:6" x14ac:dyDescent="0.25">
      <c r="A54" t="s">
        <v>2200</v>
      </c>
      <c r="B54" t="s">
        <v>1154</v>
      </c>
      <c r="C54" s="29">
        <v>6.5910000000000002</v>
      </c>
      <c r="D54" s="25">
        <v>5.5590000000000002</v>
      </c>
      <c r="E54" s="22">
        <v>5.4420000000000002</v>
      </c>
      <c r="F54" s="1" t="str">
        <f>HYPERLINK("http://www.ncbi.nlm.nih.gov/pubmed/?term=Psmc1","Psmc1")</f>
        <v>Psmc1</v>
      </c>
    </row>
    <row r="55" spans="1:6" x14ac:dyDescent="0.25">
      <c r="A55" t="s">
        <v>797</v>
      </c>
      <c r="B55" t="s">
        <v>72</v>
      </c>
      <c r="C55" s="25">
        <v>6.34</v>
      </c>
      <c r="D55" s="22">
        <v>5.3230000000000004</v>
      </c>
      <c r="E55" s="22">
        <v>5.1449999999999996</v>
      </c>
      <c r="F55" s="1" t="str">
        <f>HYPERLINK("http://www.ncbi.nlm.nih.gov/pubmed/?term=Psmd6","Psmd6")</f>
        <v>Psmd6</v>
      </c>
    </row>
    <row r="56" spans="1:6" x14ac:dyDescent="0.25">
      <c r="A56" t="s">
        <v>1901</v>
      </c>
      <c r="B56" t="s">
        <v>1159</v>
      </c>
      <c r="C56" s="25">
        <v>6.3810000000000002</v>
      </c>
      <c r="D56" s="22">
        <v>5.109</v>
      </c>
      <c r="E56" s="22">
        <v>4.835</v>
      </c>
      <c r="F56" s="1" t="str">
        <f>HYPERLINK("http://www.ncbi.nlm.nih.gov/pubmed/?term=Psmc6","Psmc6")</f>
        <v>Psmc6</v>
      </c>
    </row>
    <row r="57" spans="1:6" x14ac:dyDescent="0.25">
      <c r="A57" t="s">
        <v>834</v>
      </c>
      <c r="B57" t="s">
        <v>1552</v>
      </c>
      <c r="C57" s="22">
        <v>4.516</v>
      </c>
      <c r="D57" s="48">
        <v>3.7549999999999999</v>
      </c>
      <c r="E57" s="32">
        <v>3.4649999999999999</v>
      </c>
      <c r="F57" s="1" t="str">
        <f>HYPERLINK("http://www.ncbi.nlm.nih.gov/pubmed/?term=Mapk8","Mapk8")</f>
        <v>Mapk8</v>
      </c>
    </row>
    <row r="58" spans="1:6" x14ac:dyDescent="0.25">
      <c r="A58" t="s">
        <v>1398</v>
      </c>
      <c r="B58" t="s">
        <v>36</v>
      </c>
      <c r="C58" s="48">
        <v>4.2149999999999999</v>
      </c>
      <c r="D58" s="32">
        <v>3.403</v>
      </c>
      <c r="E58" s="12">
        <v>2.5</v>
      </c>
      <c r="F58" s="1" t="str">
        <f>HYPERLINK("http://www.ncbi.nlm.nih.gov/pubmed/?term=Tab1","Tab1")</f>
        <v>Tab1</v>
      </c>
    </row>
    <row r="59" spans="1:6" x14ac:dyDescent="0.25">
      <c r="A59" t="s">
        <v>1964</v>
      </c>
      <c r="B59" t="s">
        <v>73</v>
      </c>
      <c r="C59" s="25">
        <v>6.444</v>
      </c>
      <c r="D59" s="22">
        <v>5.2119999999999997</v>
      </c>
      <c r="E59" s="22">
        <v>5.1109999999999998</v>
      </c>
      <c r="F59" s="1" t="str">
        <f>HYPERLINK("http://www.ncbi.nlm.nih.gov/pubmed/?term=Psmd1","Psmd1")</f>
        <v>Psmd1</v>
      </c>
    </row>
    <row r="60" spans="1:6" x14ac:dyDescent="0.25">
      <c r="A60" t="s">
        <v>1205</v>
      </c>
      <c r="B60" t="s">
        <v>1329</v>
      </c>
      <c r="C60" s="25">
        <v>5.6820000000000004</v>
      </c>
      <c r="D60" s="22">
        <v>5.0220000000000002</v>
      </c>
      <c r="E60" s="22">
        <v>4.7060000000000004</v>
      </c>
      <c r="F60" s="1" t="str">
        <f>HYPERLINK("http://www.ncbi.nlm.nih.gov/pubmed/?term=Pik3r2","Pik3r2")</f>
        <v>Pik3r2</v>
      </c>
    </row>
    <row r="61" spans="1:6" x14ac:dyDescent="0.25">
      <c r="A61" t="s">
        <v>1480</v>
      </c>
      <c r="B61" t="s">
        <v>888</v>
      </c>
      <c r="C61" s="24">
        <v>8.3010000000000002</v>
      </c>
      <c r="D61" s="24">
        <v>7.867</v>
      </c>
      <c r="E61" s="29">
        <v>6.5780000000000003</v>
      </c>
      <c r="F61" s="1" t="str">
        <f>HYPERLINK("http://www.ncbi.nlm.nih.gov/pubmed/?term=Nedd4","Nedd4")</f>
        <v>Nedd4</v>
      </c>
    </row>
    <row r="62" spans="1:6" x14ac:dyDescent="0.25">
      <c r="A62" t="s">
        <v>1620</v>
      </c>
      <c r="B62" t="s">
        <v>1646</v>
      </c>
      <c r="C62" s="48">
        <v>4.484</v>
      </c>
      <c r="D62" s="48">
        <v>3.6629999999999998</v>
      </c>
      <c r="E62" s="32">
        <v>2.92</v>
      </c>
      <c r="F62" s="1" t="str">
        <f>HYPERLINK("http://www.ncbi.nlm.nih.gov/pubmed/?term=Map2k4","Map2k4")</f>
        <v>Map2k4</v>
      </c>
    </row>
    <row r="63" spans="1:6" x14ac:dyDescent="0.25">
      <c r="A63" t="s">
        <v>1726</v>
      </c>
      <c r="B63" t="s">
        <v>71</v>
      </c>
      <c r="C63" s="29">
        <v>6.8869999999999996</v>
      </c>
      <c r="D63" s="25">
        <v>5.6849999999999996</v>
      </c>
      <c r="E63" s="22">
        <v>5.3529999999999998</v>
      </c>
      <c r="F63" s="1" t="str">
        <f>HYPERLINK("http://www.ncbi.nlm.nih.gov/pubmed/?term=Psmd7","Psmd7")</f>
        <v>Psmd7</v>
      </c>
    </row>
    <row r="64" spans="1:6" x14ac:dyDescent="0.25">
      <c r="A64" t="s">
        <v>731</v>
      </c>
      <c r="B64" t="s">
        <v>1330</v>
      </c>
      <c r="C64" s="22">
        <v>4.9180000000000001</v>
      </c>
      <c r="D64" s="22">
        <v>4.8079999999999998</v>
      </c>
      <c r="E64" s="48">
        <v>3.7410000000000001</v>
      </c>
      <c r="F64" s="1" t="str">
        <f>HYPERLINK("http://www.ncbi.nlm.nih.gov/pubmed/?term=Pik3r1","Pik3r1")</f>
        <v>Pik3r1</v>
      </c>
    </row>
    <row r="65" spans="1:6" x14ac:dyDescent="0.25">
      <c r="A65" t="s">
        <v>1902</v>
      </c>
      <c r="B65" t="s">
        <v>292</v>
      </c>
      <c r="C65" s="22">
        <v>5.4859999999999998</v>
      </c>
      <c r="D65" s="22">
        <v>5.1769999999999996</v>
      </c>
      <c r="E65" s="48">
        <v>4.3440000000000003</v>
      </c>
      <c r="F65" s="1" t="str">
        <f>HYPERLINK("http://www.ncbi.nlm.nih.gov/pubmed/?term=Mapk14","Mapk14")</f>
        <v>Mapk14</v>
      </c>
    </row>
    <row r="66" spans="1:6" x14ac:dyDescent="0.25">
      <c r="A66" t="s">
        <v>2024</v>
      </c>
      <c r="B66" t="s">
        <v>15</v>
      </c>
      <c r="C66" s="48">
        <v>3.827</v>
      </c>
      <c r="D66" s="32">
        <v>2.8050000000000002</v>
      </c>
      <c r="E66" s="12">
        <v>2.2109999999999999</v>
      </c>
      <c r="F66" s="1" t="str">
        <f>HYPERLINK("http://www.ncbi.nlm.nih.gov/pubmed/?term=Bcl2","Bcl2")</f>
        <v>Bcl2</v>
      </c>
    </row>
    <row r="67" spans="1:6" x14ac:dyDescent="0.25">
      <c r="A67" t="s">
        <v>1753</v>
      </c>
      <c r="B67" t="s">
        <v>252</v>
      </c>
      <c r="C67" s="22">
        <v>4.8380000000000001</v>
      </c>
      <c r="D67" s="22">
        <v>4.8330000000000002</v>
      </c>
      <c r="E67" s="29">
        <v>7.3019999999999996</v>
      </c>
      <c r="F67" s="1" t="str">
        <f>HYPERLINK("http://www.ncbi.nlm.nih.gov/pubmed/?term=Cd40","Cd40")</f>
        <v>Cd40</v>
      </c>
    </row>
    <row r="68" spans="1:6" x14ac:dyDescent="0.25">
      <c r="A68" t="s">
        <v>1780</v>
      </c>
      <c r="B68" t="s">
        <v>313</v>
      </c>
      <c r="C68" s="22">
        <v>4.6130000000000004</v>
      </c>
      <c r="D68" s="48">
        <v>3.7010000000000001</v>
      </c>
      <c r="E68" s="25">
        <v>5.5919999999999996</v>
      </c>
      <c r="F68" s="1" t="str">
        <f>HYPERLINK("http://www.ncbi.nlm.nih.gov/pubmed/?term=Cdk1","Cdk1")</f>
        <v>Cdk1</v>
      </c>
    </row>
    <row r="69" spans="1:6" x14ac:dyDescent="0.25">
      <c r="A69" t="s">
        <v>133</v>
      </c>
      <c r="B69" t="s">
        <v>1453</v>
      </c>
      <c r="C69" s="22">
        <v>4.9180000000000001</v>
      </c>
      <c r="D69" s="22">
        <v>4.5679999999999996</v>
      </c>
      <c r="E69" s="25">
        <v>5.891</v>
      </c>
      <c r="F69" s="1" t="str">
        <f>HYPERLINK("http://www.ncbi.nlm.nih.gov/pubmed/?term=Mdm2","Mdm2")</f>
        <v>Mdm2</v>
      </c>
    </row>
    <row r="70" spans="1:6" x14ac:dyDescent="0.25">
      <c r="A70" t="s">
        <v>1942</v>
      </c>
      <c r="B70" t="s">
        <v>506</v>
      </c>
      <c r="C70" s="22">
        <v>4.665</v>
      </c>
      <c r="D70" s="48">
        <v>4.1630000000000003</v>
      </c>
      <c r="E70" s="22">
        <v>5.266</v>
      </c>
      <c r="F70" s="1" t="str">
        <f>HYPERLINK("http://www.ncbi.nlm.nih.gov/pubmed/?term=Map3k14","Map3k14")</f>
        <v>Map3k14</v>
      </c>
    </row>
    <row r="71" spans="1:6" x14ac:dyDescent="0.25">
      <c r="A71" t="s">
        <v>1852</v>
      </c>
      <c r="B71" t="s">
        <v>1070</v>
      </c>
      <c r="C71" s="24">
        <v>7.577</v>
      </c>
      <c r="D71" s="24">
        <v>7.5250000000000004</v>
      </c>
      <c r="E71" s="43">
        <v>9.6739999999999995</v>
      </c>
      <c r="F71" s="1" t="str">
        <f>HYPERLINK("http://www.ncbi.nlm.nih.gov/pubmed/?term=Nfkbia","Nfkbia")</f>
        <v>Nfkbia</v>
      </c>
    </row>
    <row r="72" spans="1:6" x14ac:dyDescent="0.25">
      <c r="A72" t="s">
        <v>2037</v>
      </c>
      <c r="B72" t="s">
        <v>1071</v>
      </c>
      <c r="C72" s="22">
        <v>5.2140000000000004</v>
      </c>
      <c r="D72" s="22">
        <v>5.157</v>
      </c>
      <c r="E72" s="25">
        <v>6.4509999999999996</v>
      </c>
      <c r="F72" s="1" t="str">
        <f>HYPERLINK("http://www.ncbi.nlm.nih.gov/pubmed/?term=Nfkbie","Nfkbie")</f>
        <v>Nfkbie</v>
      </c>
    </row>
    <row r="73" spans="1:6" x14ac:dyDescent="0.25">
      <c r="A73" t="s">
        <v>529</v>
      </c>
      <c r="B73" t="s">
        <v>1321</v>
      </c>
      <c r="C73" s="32">
        <v>3.3559999999999999</v>
      </c>
      <c r="D73" s="32">
        <v>3.198</v>
      </c>
      <c r="E73" s="22">
        <v>5.0339999999999998</v>
      </c>
      <c r="F73" s="1" t="str">
        <f>HYPERLINK("http://www.ncbi.nlm.nih.gov/pubmed/?term=Traf6","Traf6")</f>
        <v>Traf6</v>
      </c>
    </row>
    <row r="74" spans="1:6" x14ac:dyDescent="0.25">
      <c r="A74" t="s">
        <v>1675</v>
      </c>
      <c r="B74" t="s">
        <v>1069</v>
      </c>
      <c r="C74" s="22">
        <v>4.6070000000000002</v>
      </c>
      <c r="D74" s="48">
        <v>3.927</v>
      </c>
      <c r="E74" s="22">
        <v>5.1689999999999996</v>
      </c>
      <c r="F74" s="1" t="str">
        <f>HYPERLINK("http://www.ncbi.nlm.nih.gov/pubmed/?term=Nfkbib","Nfkbib")</f>
        <v>Nfkbib</v>
      </c>
    </row>
    <row r="75" spans="1:6" x14ac:dyDescent="0.25">
      <c r="A75" t="s">
        <v>546</v>
      </c>
      <c r="B75" t="s">
        <v>647</v>
      </c>
      <c r="C75" s="29">
        <v>7.0970000000000004</v>
      </c>
      <c r="D75" s="29">
        <v>6.6790000000000003</v>
      </c>
      <c r="E75" s="46">
        <v>8.57</v>
      </c>
      <c r="F75" s="1" t="str">
        <f>HYPERLINK("http://www.ncbi.nlm.nih.gov/pubmed/?term=Icam1","Icam1")</f>
        <v>Icam1</v>
      </c>
    </row>
    <row r="76" spans="1:6" x14ac:dyDescent="0.25">
      <c r="A76" t="s">
        <v>1857</v>
      </c>
      <c r="B76" t="s">
        <v>1156</v>
      </c>
      <c r="C76" s="29">
        <v>7.0060000000000002</v>
      </c>
      <c r="D76" s="25">
        <v>5.9359999999999999</v>
      </c>
      <c r="E76" s="25">
        <v>6.0369999999999999</v>
      </c>
      <c r="F76" s="1" t="str">
        <f>HYPERLINK("http://www.ncbi.nlm.nih.gov/pubmed/?term=Psmc3","Psmc3")</f>
        <v>Psmc3</v>
      </c>
    </row>
    <row r="77" spans="1:6" x14ac:dyDescent="0.25">
      <c r="A77" t="s">
        <v>384</v>
      </c>
      <c r="B77" t="s">
        <v>70</v>
      </c>
      <c r="C77" s="29">
        <v>7.2229999999999999</v>
      </c>
      <c r="D77" s="25">
        <v>5.9770000000000003</v>
      </c>
      <c r="E77" s="25">
        <v>6.0449999999999999</v>
      </c>
      <c r="F77" s="1" t="str">
        <f>HYPERLINK("http://www.ncbi.nlm.nih.gov/pubmed/?term=Psmd4","Psmd4")</f>
        <v>Psmd4</v>
      </c>
    </row>
    <row r="78" spans="1:6" x14ac:dyDescent="0.25">
      <c r="A78" t="s">
        <v>1103</v>
      </c>
      <c r="B78" t="s">
        <v>1155</v>
      </c>
      <c r="C78" s="29">
        <v>7.0590000000000002</v>
      </c>
      <c r="D78" s="25">
        <v>5.8280000000000003</v>
      </c>
      <c r="E78" s="25">
        <v>6.0190000000000001</v>
      </c>
      <c r="F78" s="1" t="str">
        <f>HYPERLINK("http://www.ncbi.nlm.nih.gov/pubmed/?term=Psmc2","Psmc2")</f>
        <v>Psmc2</v>
      </c>
    </row>
    <row r="79" spans="1:6" x14ac:dyDescent="0.25">
      <c r="A79" t="s">
        <v>998</v>
      </c>
      <c r="B79" t="s">
        <v>1157</v>
      </c>
      <c r="C79" s="29">
        <v>7.0129999999999999</v>
      </c>
      <c r="D79" s="25">
        <v>5.8920000000000003</v>
      </c>
      <c r="E79" s="25">
        <v>6.3979999999999997</v>
      </c>
      <c r="F79" s="1" t="str">
        <f>HYPERLINK("http://www.ncbi.nlm.nih.gov/pubmed/?term=Psmc4","Psmc4")</f>
        <v>Psmc4</v>
      </c>
    </row>
    <row r="80" spans="1:6" x14ac:dyDescent="0.25">
      <c r="A80" t="s">
        <v>541</v>
      </c>
      <c r="B80" t="s">
        <v>301</v>
      </c>
      <c r="C80" s="25">
        <v>6</v>
      </c>
      <c r="D80" s="48">
        <v>4.056</v>
      </c>
      <c r="E80" s="22">
        <v>4.9809999999999999</v>
      </c>
      <c r="F80" s="1" t="str">
        <f>HYPERLINK("http://www.ncbi.nlm.nih.gov/pubmed/?term=Gtf2e2","Gtf2e2")</f>
        <v>Gtf2e2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212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1395</v>
      </c>
      <c r="B5" t="s">
        <v>2028</v>
      </c>
      <c r="C5" s="26">
        <v>-1.0329999999999999</v>
      </c>
      <c r="D5" s="22">
        <v>2.9460000000000002</v>
      </c>
      <c r="E5" s="22">
        <v>3.42</v>
      </c>
      <c r="F5" s="1" t="str">
        <f>HYPERLINK("http://www.ncbi.nlm.nih.gov/pubmed/?term=Elovl7","Elovl7")</f>
        <v>Elovl7</v>
      </c>
    </row>
    <row r="6" spans="1:6" x14ac:dyDescent="0.25">
      <c r="A6" t="s">
        <v>1101</v>
      </c>
      <c r="B6" t="s">
        <v>1945</v>
      </c>
      <c r="C6" s="41">
        <v>1.9850000000000001</v>
      </c>
      <c r="D6" s="3">
        <v>3.8279999999999998</v>
      </c>
      <c r="E6" s="3">
        <v>4.0780000000000003</v>
      </c>
      <c r="F6" s="1" t="str">
        <f>HYPERLINK("http://www.ncbi.nlm.nih.gov/pubmed/?term=Acot7","Acot7")</f>
        <v>Acot7</v>
      </c>
    </row>
    <row r="7" spans="1:6" x14ac:dyDescent="0.25">
      <c r="A7" t="s">
        <v>600</v>
      </c>
      <c r="B7" t="s">
        <v>458</v>
      </c>
      <c r="C7" s="16">
        <v>5.2969999999999997</v>
      </c>
      <c r="D7" s="16">
        <v>4.7549999999999999</v>
      </c>
      <c r="E7" s="3">
        <v>4.1429999999999998</v>
      </c>
      <c r="F7" s="1" t="str">
        <f>HYPERLINK("http://www.ncbi.nlm.nih.gov/pubmed/?term=Ppt1","Ppt1")</f>
        <v>Ppt1</v>
      </c>
    </row>
    <row r="8" spans="1:6" x14ac:dyDescent="0.25">
      <c r="A8" t="s">
        <v>1526</v>
      </c>
      <c r="B8" t="s">
        <v>1247</v>
      </c>
      <c r="C8" s="16">
        <v>5.37</v>
      </c>
      <c r="D8" s="3">
        <v>3.9049999999999998</v>
      </c>
      <c r="E8" s="21">
        <v>1.488</v>
      </c>
      <c r="F8" s="1" t="str">
        <f>HYPERLINK("http://www.ncbi.nlm.nih.gov/pubmed/?term=Acaa2","Acaa2")</f>
        <v>Acaa2</v>
      </c>
    </row>
    <row r="9" spans="1:6" x14ac:dyDescent="0.25">
      <c r="A9" t="s">
        <v>208</v>
      </c>
      <c r="B9" t="s">
        <v>2027</v>
      </c>
      <c r="C9" s="22">
        <v>3.4020000000000001</v>
      </c>
      <c r="D9" s="22">
        <v>2.649</v>
      </c>
      <c r="E9" s="21">
        <v>0.99590000000000001</v>
      </c>
      <c r="F9" s="1" t="str">
        <f>HYPERLINK("http://www.ncbi.nlm.nih.gov/pubmed/?term=Elovl6","Elovl6")</f>
        <v>Elovl6</v>
      </c>
    </row>
    <row r="10" spans="1:6" x14ac:dyDescent="0.25">
      <c r="A10" t="s">
        <v>1425</v>
      </c>
      <c r="B10" t="s">
        <v>1947</v>
      </c>
      <c r="C10" s="3">
        <v>4.1550000000000002</v>
      </c>
      <c r="D10" s="41">
        <v>2.3650000000000002</v>
      </c>
      <c r="E10" s="21">
        <v>0.5343</v>
      </c>
      <c r="F10" s="1" t="str">
        <f>HYPERLINK("http://www.ncbi.nlm.nih.gov/pubmed/?term=Acot1","Acot1")</f>
        <v>Acot1</v>
      </c>
    </row>
    <row r="11" spans="1:6" x14ac:dyDescent="0.25">
      <c r="A11" t="s">
        <v>227</v>
      </c>
      <c r="B11" t="s">
        <v>2031</v>
      </c>
      <c r="C11" s="43">
        <v>6.6139999999999999</v>
      </c>
      <c r="D11" s="16">
        <v>5.085</v>
      </c>
      <c r="E11" s="16">
        <v>5.38</v>
      </c>
      <c r="F11" s="1" t="str">
        <f>HYPERLINK("http://www.ncbi.nlm.nih.gov/pubmed/?term=Hadh","Hadh")</f>
        <v>Hadh</v>
      </c>
    </row>
    <row r="12" spans="1:6" x14ac:dyDescent="0.25">
      <c r="A12" t="s">
        <v>1180</v>
      </c>
      <c r="B12" t="s">
        <v>1517</v>
      </c>
      <c r="C12" s="43">
        <v>6.3710000000000004</v>
      </c>
      <c r="D12" s="16">
        <v>4.9260000000000002</v>
      </c>
      <c r="E12" s="16">
        <v>5.069</v>
      </c>
      <c r="F12" s="1" t="str">
        <f>HYPERLINK("http://www.ncbi.nlm.nih.gov/pubmed/?term=Hadhb","Hadhb")</f>
        <v>Hadhb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1320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1709</v>
      </c>
      <c r="B5" t="s">
        <v>2175</v>
      </c>
      <c r="C5" s="36">
        <v>2.2000000000000002</v>
      </c>
      <c r="D5" s="47">
        <v>3.359</v>
      </c>
      <c r="E5" s="47">
        <v>2.7130000000000001</v>
      </c>
      <c r="F5" s="1" t="str">
        <f>HYPERLINK("http://www.ncbi.nlm.nih.gov/pubmed/?term=Itpkc","Itpkc")</f>
        <v>Itpkc</v>
      </c>
    </row>
    <row r="6" spans="1:6" x14ac:dyDescent="0.25">
      <c r="A6" t="s">
        <v>2016</v>
      </c>
      <c r="B6" t="s">
        <v>1464</v>
      </c>
      <c r="C6" s="26">
        <v>-0.25159999999999999</v>
      </c>
      <c r="D6" s="27">
        <v>4.952</v>
      </c>
      <c r="E6" s="14">
        <v>0.69540000000000002</v>
      </c>
      <c r="F6" s="1" t="str">
        <f>HYPERLINK("http://www.ncbi.nlm.nih.gov/pubmed/?term=Pik3cg","Pik3cg")</f>
        <v>Pik3cg</v>
      </c>
    </row>
    <row r="7" spans="1:6" x14ac:dyDescent="0.25">
      <c r="A7" t="s">
        <v>1335</v>
      </c>
      <c r="B7" t="s">
        <v>1328</v>
      </c>
      <c r="C7" s="14">
        <v>0.53520000000000001</v>
      </c>
      <c r="D7" s="28">
        <v>5.8090000000000002</v>
      </c>
      <c r="E7" s="47">
        <v>2.5489999999999999</v>
      </c>
      <c r="F7" s="1" t="str">
        <f>HYPERLINK("http://www.ncbi.nlm.nih.gov/pubmed/?term=Pik3r5","Pik3r5")</f>
        <v>Pik3r5</v>
      </c>
    </row>
    <row r="8" spans="1:6" x14ac:dyDescent="0.25">
      <c r="A8" t="s">
        <v>58</v>
      </c>
      <c r="B8" t="s">
        <v>882</v>
      </c>
      <c r="C8" s="47">
        <v>2.504</v>
      </c>
      <c r="D8" s="42">
        <v>3.7949999999999999</v>
      </c>
      <c r="E8" s="47">
        <v>3.383</v>
      </c>
      <c r="F8" s="1" t="str">
        <f>HYPERLINK("http://www.ncbi.nlm.nih.gov/pubmed/?term=Plce1","Plce1")</f>
        <v>Plce1</v>
      </c>
    </row>
    <row r="9" spans="1:6" x14ac:dyDescent="0.25">
      <c r="A9" t="s">
        <v>1034</v>
      </c>
      <c r="B9" t="s">
        <v>1268</v>
      </c>
      <c r="C9" s="26">
        <v>0.43269999999999997</v>
      </c>
      <c r="D9" s="27">
        <v>4.952</v>
      </c>
      <c r="E9" s="42">
        <v>4.4619999999999997</v>
      </c>
      <c r="F9" s="1" t="str">
        <f>HYPERLINK("http://www.ncbi.nlm.nih.gov/pubmed/?term=Inpp5d","Inpp5d")</f>
        <v>Inpp5d</v>
      </c>
    </row>
    <row r="10" spans="1:6" x14ac:dyDescent="0.25">
      <c r="A10" t="s">
        <v>730</v>
      </c>
      <c r="B10" t="s">
        <v>777</v>
      </c>
      <c r="C10" s="36">
        <v>2.1339999999999999</v>
      </c>
      <c r="D10" s="27">
        <v>4.7649999999999997</v>
      </c>
      <c r="E10" s="47">
        <v>2.6150000000000002</v>
      </c>
      <c r="F10" s="1" t="str">
        <f>HYPERLINK("http://www.ncbi.nlm.nih.gov/pubmed/?term=Itpr2","Itpr2")</f>
        <v>Itpr2</v>
      </c>
    </row>
    <row r="11" spans="1:6" x14ac:dyDescent="0.25">
      <c r="A11" t="s">
        <v>951</v>
      </c>
      <c r="B11" t="s">
        <v>1862</v>
      </c>
      <c r="C11" s="42">
        <v>3.51</v>
      </c>
      <c r="D11" s="27">
        <v>4.5170000000000003</v>
      </c>
      <c r="E11" s="42">
        <v>3.9710000000000001</v>
      </c>
      <c r="F11" s="1" t="str">
        <f>HYPERLINK("http://www.ncbi.nlm.nih.gov/pubmed/?term=Inppl1","Inppl1")</f>
        <v>Inppl1</v>
      </c>
    </row>
    <row r="12" spans="1:6" x14ac:dyDescent="0.25">
      <c r="A12" t="s">
        <v>1169</v>
      </c>
      <c r="B12" t="s">
        <v>62</v>
      </c>
      <c r="C12" s="26">
        <v>-2.363</v>
      </c>
      <c r="D12" s="28">
        <v>5.6109999999999998</v>
      </c>
      <c r="E12" s="27">
        <v>5.3639999999999999</v>
      </c>
      <c r="F12" s="1" t="str">
        <f>HYPERLINK("http://www.ncbi.nlm.nih.gov/pubmed/?term=Calm4","Calm4")</f>
        <v>Calm4</v>
      </c>
    </row>
    <row r="13" spans="1:6" x14ac:dyDescent="0.25">
      <c r="A13" t="s">
        <v>276</v>
      </c>
      <c r="B13" t="s">
        <v>1181</v>
      </c>
      <c r="C13" s="47">
        <v>2.7959999999999998</v>
      </c>
      <c r="D13" s="27">
        <v>4.8380000000000001</v>
      </c>
      <c r="E13" s="47">
        <v>3.4089999999999998</v>
      </c>
      <c r="F13" s="1" t="str">
        <f>HYPERLINK("http://www.ncbi.nlm.nih.gov/pubmed/?term=Plcg2","Plcg2")</f>
        <v>Plcg2</v>
      </c>
    </row>
    <row r="14" spans="1:6" x14ac:dyDescent="0.25">
      <c r="A14" t="s">
        <v>2149</v>
      </c>
      <c r="B14" t="s">
        <v>615</v>
      </c>
      <c r="C14" s="26">
        <v>-3.8439999999999999</v>
      </c>
      <c r="D14" s="42">
        <v>3.5169999999999999</v>
      </c>
      <c r="E14" s="26">
        <v>-5.7509999999999999E-2</v>
      </c>
      <c r="F14" s="1" t="str">
        <f>HYPERLINK("http://www.ncbi.nlm.nih.gov/pubmed/?term=Dgki","Dgki")</f>
        <v>Dgki</v>
      </c>
    </row>
    <row r="15" spans="1:6" x14ac:dyDescent="0.25">
      <c r="A15" t="s">
        <v>1212</v>
      </c>
      <c r="B15" t="s">
        <v>1935</v>
      </c>
      <c r="C15" s="26">
        <v>-0.58730000000000004</v>
      </c>
      <c r="D15" s="28">
        <v>6.1760000000000002</v>
      </c>
      <c r="E15" s="47">
        <v>2.665</v>
      </c>
      <c r="F15" s="1" t="str">
        <f>HYPERLINK("http://www.ncbi.nlm.nih.gov/pubmed/?term=Plcb2","Plcb2")</f>
        <v>Plcb2</v>
      </c>
    </row>
    <row r="16" spans="1:6" x14ac:dyDescent="0.25">
      <c r="A16" t="s">
        <v>1189</v>
      </c>
      <c r="B16" t="s">
        <v>610</v>
      </c>
      <c r="C16" s="42">
        <v>4.117</v>
      </c>
      <c r="D16" s="28">
        <v>6.32</v>
      </c>
      <c r="E16" s="27">
        <v>4.5229999999999997</v>
      </c>
      <c r="F16" s="1" t="str">
        <f>HYPERLINK("http://www.ncbi.nlm.nih.gov/pubmed/?term=Dgkz","Dgkz")</f>
        <v>Dgkz</v>
      </c>
    </row>
    <row r="17" spans="1:6" x14ac:dyDescent="0.25">
      <c r="A17" t="s">
        <v>1655</v>
      </c>
      <c r="B17" t="s">
        <v>260</v>
      </c>
      <c r="C17" s="26">
        <v>-4.9090000000000002E-2</v>
      </c>
      <c r="D17" s="42">
        <v>3.6469999999999998</v>
      </c>
      <c r="E17" s="43">
        <v>6.85</v>
      </c>
      <c r="F17" s="1" t="str">
        <f>HYPERLINK("http://www.ncbi.nlm.nih.gov/pubmed/?term=Pip5k1b","Pip5k1b")</f>
        <v>Pip5k1b</v>
      </c>
    </row>
    <row r="18" spans="1:6" x14ac:dyDescent="0.25">
      <c r="A18" t="s">
        <v>602</v>
      </c>
      <c r="B18" t="s">
        <v>1267</v>
      </c>
      <c r="C18" s="36">
        <v>1.7769999999999999</v>
      </c>
      <c r="D18" s="27">
        <v>4.6479999999999997</v>
      </c>
      <c r="E18" s="27">
        <v>5.1669999999999998</v>
      </c>
      <c r="F18" s="1" t="str">
        <f>HYPERLINK("http://www.ncbi.nlm.nih.gov/pubmed/?term=Inpp5b","Inpp5b")</f>
        <v>Inpp5b</v>
      </c>
    </row>
    <row r="19" spans="1:6" x14ac:dyDescent="0.25">
      <c r="A19" t="s">
        <v>1932</v>
      </c>
      <c r="B19" t="s">
        <v>2087</v>
      </c>
      <c r="C19" s="42">
        <v>3.9390000000000001</v>
      </c>
      <c r="D19" s="27">
        <v>4.8140000000000001</v>
      </c>
      <c r="E19" s="27">
        <v>5.2080000000000002</v>
      </c>
      <c r="F19" s="1" t="str">
        <f>HYPERLINK("http://www.ncbi.nlm.nih.gov/pubmed/?term=Cdipt","Cdipt")</f>
        <v>Cdipt</v>
      </c>
    </row>
    <row r="20" spans="1:6" x14ac:dyDescent="0.25">
      <c r="A20" t="s">
        <v>333</v>
      </c>
      <c r="B20" t="s">
        <v>1460</v>
      </c>
      <c r="C20" s="26">
        <v>0.44829999999999998</v>
      </c>
      <c r="D20" s="36">
        <v>2.1360000000000001</v>
      </c>
      <c r="E20" s="42">
        <v>3.8809999999999998</v>
      </c>
      <c r="F20" s="1" t="str">
        <f>HYPERLINK("http://www.ncbi.nlm.nih.gov/pubmed/?term=Pik3cb","Pik3cb")</f>
        <v>Pik3cb</v>
      </c>
    </row>
    <row r="21" spans="1:6" x14ac:dyDescent="0.25">
      <c r="A21" t="s">
        <v>2124</v>
      </c>
      <c r="B21" t="s">
        <v>2188</v>
      </c>
      <c r="C21" s="26">
        <v>-1.919</v>
      </c>
      <c r="D21" s="28">
        <v>5.5629999999999997</v>
      </c>
      <c r="E21" s="28">
        <v>5.6420000000000003</v>
      </c>
      <c r="F21" s="1" t="str">
        <f>HYPERLINK("http://www.ncbi.nlm.nih.gov/pubmed/?term=Calml3","Calml3")</f>
        <v>Calml3</v>
      </c>
    </row>
    <row r="22" spans="1:6" x14ac:dyDescent="0.25">
      <c r="A22" t="s">
        <v>1250</v>
      </c>
      <c r="B22" t="s">
        <v>617</v>
      </c>
      <c r="C22" s="42">
        <v>3.919</v>
      </c>
      <c r="D22" s="42">
        <v>4.38</v>
      </c>
      <c r="E22" s="47">
        <v>2.94</v>
      </c>
      <c r="F22" s="1" t="str">
        <f>HYPERLINK("http://www.ncbi.nlm.nih.gov/pubmed/?term=Dgka","Dgka")</f>
        <v>Dgka</v>
      </c>
    </row>
    <row r="23" spans="1:6" x14ac:dyDescent="0.25">
      <c r="A23" t="s">
        <v>686</v>
      </c>
      <c r="B23" t="s">
        <v>593</v>
      </c>
      <c r="C23" s="43">
        <v>7.6289999999999996</v>
      </c>
      <c r="D23" s="43">
        <v>8.4730000000000008</v>
      </c>
      <c r="E23" s="43">
        <v>7.0110000000000001</v>
      </c>
      <c r="F23" s="1" t="str">
        <f>HYPERLINK("http://www.ncbi.nlm.nih.gov/pubmed/?term=Calm2","Calm2")</f>
        <v>Calm2</v>
      </c>
    </row>
    <row r="24" spans="1:6" x14ac:dyDescent="0.25">
      <c r="A24" t="s">
        <v>1142</v>
      </c>
      <c r="B24" t="s">
        <v>848</v>
      </c>
      <c r="C24" s="47">
        <v>3.3780000000000001</v>
      </c>
      <c r="D24" s="47">
        <v>3.133</v>
      </c>
      <c r="E24" s="36">
        <v>1.583</v>
      </c>
      <c r="F24" s="1" t="str">
        <f>HYPERLINK("http://www.ncbi.nlm.nih.gov/pubmed/?term=Ocrl","Ocrl")</f>
        <v>Ocrl</v>
      </c>
    </row>
    <row r="25" spans="1:6" x14ac:dyDescent="0.25">
      <c r="A25" t="s">
        <v>1143</v>
      </c>
      <c r="B25" t="s">
        <v>595</v>
      </c>
      <c r="C25" s="43">
        <v>6.7370000000000001</v>
      </c>
      <c r="D25" s="28">
        <v>6.1340000000000003</v>
      </c>
      <c r="E25" s="28">
        <v>5.6020000000000003</v>
      </c>
      <c r="F25" s="1" t="str">
        <f>HYPERLINK("http://www.ncbi.nlm.nih.gov/pubmed/?term=Calm1","Calm1")</f>
        <v>Calm1</v>
      </c>
    </row>
    <row r="26" spans="1:6" x14ac:dyDescent="0.25">
      <c r="A26" t="s">
        <v>1325</v>
      </c>
      <c r="B26" t="s">
        <v>1020</v>
      </c>
      <c r="C26" s="27">
        <v>4.6929999999999996</v>
      </c>
      <c r="D26" s="42">
        <v>3.6240000000000001</v>
      </c>
      <c r="E26" s="36">
        <v>1.9930000000000001</v>
      </c>
      <c r="F26" s="1" t="str">
        <f>HYPERLINK("http://www.ncbi.nlm.nih.gov/pubmed/?term=Plcd1","Plcd1")</f>
        <v>Plcd1</v>
      </c>
    </row>
    <row r="27" spans="1:6" x14ac:dyDescent="0.25">
      <c r="A27" t="s">
        <v>78</v>
      </c>
      <c r="B27" t="s">
        <v>1182</v>
      </c>
      <c r="C27" s="27">
        <v>4.6639999999999997</v>
      </c>
      <c r="D27" s="27">
        <v>4.6269999999999998</v>
      </c>
      <c r="E27" s="47">
        <v>2.9020000000000001</v>
      </c>
      <c r="F27" s="1" t="str">
        <f>HYPERLINK("http://www.ncbi.nlm.nih.gov/pubmed/?term=Plcg1","Plcg1")</f>
        <v>Plcg1</v>
      </c>
    </row>
    <row r="28" spans="1:6" x14ac:dyDescent="0.25">
      <c r="A28" t="s">
        <v>1397</v>
      </c>
      <c r="B28" t="s">
        <v>1591</v>
      </c>
      <c r="C28" s="28">
        <v>6.2089999999999996</v>
      </c>
      <c r="D28" s="42">
        <v>3.5459999999999998</v>
      </c>
      <c r="E28" s="36">
        <v>2.4239999999999999</v>
      </c>
      <c r="F28" s="1" t="str">
        <f>HYPERLINK("http://www.ncbi.nlm.nih.gov/pubmed/?term=Cds1","Cds1")</f>
        <v>Cds1</v>
      </c>
    </row>
    <row r="29" spans="1:6" x14ac:dyDescent="0.25">
      <c r="A29" t="s">
        <v>1205</v>
      </c>
      <c r="B29" t="s">
        <v>1329</v>
      </c>
      <c r="C29" s="28">
        <v>5.6820000000000004</v>
      </c>
      <c r="D29" s="27">
        <v>5.0220000000000002</v>
      </c>
      <c r="E29" s="27">
        <v>4.7060000000000004</v>
      </c>
      <c r="F29" s="1" t="str">
        <f>HYPERLINK("http://www.ncbi.nlm.nih.gov/pubmed/?term=Pik3r2","Pik3r2")</f>
        <v>Pik3r2</v>
      </c>
    </row>
    <row r="30" spans="1:6" x14ac:dyDescent="0.25">
      <c r="A30" t="s">
        <v>731</v>
      </c>
      <c r="B30" t="s">
        <v>1330</v>
      </c>
      <c r="C30" s="27">
        <v>4.9180000000000001</v>
      </c>
      <c r="D30" s="27">
        <v>4.8079999999999998</v>
      </c>
      <c r="E30" s="42">
        <v>3.7410000000000001</v>
      </c>
      <c r="F30" s="1" t="str">
        <f>HYPERLINK("http://www.ncbi.nlm.nih.gov/pubmed/?term=Pik3r1","Pik3r1")</f>
        <v>Pik3r1</v>
      </c>
    </row>
    <row r="31" spans="1:6" x14ac:dyDescent="0.25">
      <c r="A31" t="s">
        <v>407</v>
      </c>
      <c r="B31" t="s">
        <v>2146</v>
      </c>
      <c r="C31" s="42">
        <v>4.024</v>
      </c>
      <c r="D31" s="47">
        <v>3.2320000000000002</v>
      </c>
      <c r="E31" s="47">
        <v>2.8780000000000001</v>
      </c>
      <c r="F31" s="1" t="str">
        <f>HYPERLINK("http://www.ncbi.nlm.nih.gov/pubmed/?term=Itpk1","Itpk1")</f>
        <v>Itpk1</v>
      </c>
    </row>
    <row r="32" spans="1:6" x14ac:dyDescent="0.25">
      <c r="A32" t="s">
        <v>698</v>
      </c>
      <c r="B32" t="s">
        <v>365</v>
      </c>
      <c r="C32" s="42">
        <v>4.4690000000000003</v>
      </c>
      <c r="D32" s="47">
        <v>3.4969999999999999</v>
      </c>
      <c r="E32" s="47">
        <v>2.5619999999999998</v>
      </c>
      <c r="F32" s="1" t="str">
        <f>HYPERLINK("http://www.ncbi.nlm.nih.gov/pubmed/?term=Impad1","Impad1")</f>
        <v>Impad1</v>
      </c>
    </row>
    <row r="33" spans="1:6" x14ac:dyDescent="0.25">
      <c r="A33" t="s">
        <v>1246</v>
      </c>
      <c r="B33" t="s">
        <v>1136</v>
      </c>
      <c r="C33" s="27">
        <v>4.6719999999999997</v>
      </c>
      <c r="D33" s="42">
        <v>4.3689999999999998</v>
      </c>
      <c r="E33" s="43">
        <v>7.0529999999999999</v>
      </c>
      <c r="F33" s="1" t="str">
        <f>HYPERLINK("http://www.ncbi.nlm.nih.gov/pubmed/?term=Synj2","Synj2")</f>
        <v>Synj2</v>
      </c>
    </row>
    <row r="34" spans="1:6" x14ac:dyDescent="0.25">
      <c r="A34" t="s">
        <v>973</v>
      </c>
      <c r="B34" t="s">
        <v>1936</v>
      </c>
      <c r="C34" s="27">
        <v>4.9489999999999998</v>
      </c>
      <c r="D34" s="42">
        <v>4.2130000000000001</v>
      </c>
      <c r="E34" s="28">
        <v>5.6050000000000004</v>
      </c>
      <c r="F34" s="1" t="str">
        <f>HYPERLINK("http://www.ncbi.nlm.nih.gov/pubmed/?term=Plcb4","Plcb4")</f>
        <v>Plcb4</v>
      </c>
    </row>
    <row r="35" spans="1:6" x14ac:dyDescent="0.25">
      <c r="A35" t="s">
        <v>1880</v>
      </c>
      <c r="B35" t="s">
        <v>1077</v>
      </c>
      <c r="C35" s="42">
        <v>3.6549999999999998</v>
      </c>
      <c r="D35" s="47">
        <v>3.3140000000000001</v>
      </c>
      <c r="E35" s="28">
        <v>6.2270000000000003</v>
      </c>
      <c r="F35" s="1" t="str">
        <f>HYPERLINK("http://www.ncbi.nlm.nih.gov/pubmed/?term=Prkca","Prkca")</f>
        <v>Prkca</v>
      </c>
    </row>
    <row r="36" spans="1:6" x14ac:dyDescent="0.25">
      <c r="A36" t="s">
        <v>2098</v>
      </c>
      <c r="B36" t="s">
        <v>1592</v>
      </c>
      <c r="C36" s="42">
        <v>4.2009999999999996</v>
      </c>
      <c r="D36" s="42">
        <v>4.0860000000000003</v>
      </c>
      <c r="E36" s="28">
        <v>6.2290000000000001</v>
      </c>
      <c r="F36" s="1" t="str">
        <f>HYPERLINK("http://www.ncbi.nlm.nih.gov/pubmed/?term=Cds2","Cds2")</f>
        <v>Cds2</v>
      </c>
    </row>
    <row r="37" spans="1:6" x14ac:dyDescent="0.25">
      <c r="A37" t="s">
        <v>1907</v>
      </c>
      <c r="B37" t="s">
        <v>594</v>
      </c>
      <c r="C37" s="43">
        <v>6.91</v>
      </c>
      <c r="D37" s="28">
        <v>6.0519999999999996</v>
      </c>
      <c r="E37" s="28">
        <v>6.492</v>
      </c>
      <c r="F37" s="1" t="str">
        <f>HYPERLINK("http://www.ncbi.nlm.nih.gov/pubmed/?term=Calm3","Calm3")</f>
        <v>Calm3</v>
      </c>
    </row>
    <row r="38" spans="1:6" x14ac:dyDescent="0.25">
      <c r="A38" t="s">
        <v>111</v>
      </c>
      <c r="B38" t="s">
        <v>1266</v>
      </c>
      <c r="C38" s="27">
        <v>5.0369999999999999</v>
      </c>
      <c r="D38" s="42">
        <v>3.605</v>
      </c>
      <c r="E38" s="42">
        <v>3.9809999999999999</v>
      </c>
      <c r="F38" s="1" t="str">
        <f>HYPERLINK("http://www.ncbi.nlm.nih.gov/pubmed/?term=Inpp5a","Inpp5a")</f>
        <v>Inpp5a</v>
      </c>
    </row>
    <row r="39" spans="1:6" x14ac:dyDescent="0.25">
      <c r="A39" t="s">
        <v>1531</v>
      </c>
      <c r="B39" t="s">
        <v>277</v>
      </c>
      <c r="C39" s="28">
        <v>5.8109999999999999</v>
      </c>
      <c r="D39" s="42">
        <v>3.8580000000000001</v>
      </c>
      <c r="E39" s="42">
        <v>4.306</v>
      </c>
      <c r="F39" s="1" t="str">
        <f>HYPERLINK("http://www.ncbi.nlm.nih.gov/pubmed/?term=Inpp1","Inpp1")</f>
        <v>Inpp1</v>
      </c>
    </row>
    <row r="40" spans="1:6" x14ac:dyDescent="0.25">
      <c r="A40" t="s">
        <v>989</v>
      </c>
      <c r="B40" t="s">
        <v>761</v>
      </c>
      <c r="C40" s="27">
        <v>5.3520000000000003</v>
      </c>
      <c r="D40" s="42">
        <v>3.9340000000000002</v>
      </c>
      <c r="E40" s="42">
        <v>4.4850000000000003</v>
      </c>
      <c r="F40" s="1" t="str">
        <f>HYPERLINK("http://www.ncbi.nlm.nih.gov/pubmed/?term=Pip4k2a","Pip4k2a")</f>
        <v>Pip4k2a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1228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1051</v>
      </c>
      <c r="B5" t="s">
        <v>508</v>
      </c>
      <c r="C5" s="48">
        <v>2.0329999999999999</v>
      </c>
      <c r="D5" s="48">
        <v>2.4929999999999999</v>
      </c>
      <c r="E5" s="24">
        <v>4.08</v>
      </c>
      <c r="F5" s="1" t="str">
        <f>HYPERLINK("http://www.ncbi.nlm.nih.gov/pubmed/?term=Galnt7","Galnt7")</f>
        <v>Galnt7</v>
      </c>
    </row>
    <row r="6" spans="1:6" x14ac:dyDescent="0.25">
      <c r="A6" t="s">
        <v>907</v>
      </c>
      <c r="B6" t="s">
        <v>1131</v>
      </c>
      <c r="C6" s="26">
        <v>-0.2984</v>
      </c>
      <c r="D6" s="24">
        <v>4.03</v>
      </c>
      <c r="E6" s="43">
        <v>5.173</v>
      </c>
      <c r="F6" s="1" t="str">
        <f>HYPERLINK("http://www.ncbi.nlm.nih.gov/pubmed/?term=Wbscr17","Wbscr17")</f>
        <v>Wbscr17</v>
      </c>
    </row>
    <row r="7" spans="1:6" x14ac:dyDescent="0.25">
      <c r="A7" t="s">
        <v>621</v>
      </c>
      <c r="B7" t="s">
        <v>1439</v>
      </c>
      <c r="C7" s="24">
        <v>4.4050000000000002</v>
      </c>
      <c r="D7" s="43">
        <v>5.4580000000000002</v>
      </c>
      <c r="E7" s="43">
        <v>6.407</v>
      </c>
      <c r="F7" s="1" t="str">
        <f>HYPERLINK("http://www.ncbi.nlm.nih.gov/pubmed/?term=Galntl4","Galntl4")</f>
        <v>Galntl4</v>
      </c>
    </row>
    <row r="8" spans="1:6" x14ac:dyDescent="0.25">
      <c r="A8" t="s">
        <v>2043</v>
      </c>
      <c r="B8" t="s">
        <v>266</v>
      </c>
      <c r="C8" s="26">
        <v>-2.6429999999999998</v>
      </c>
      <c r="D8" s="12">
        <v>1.4770000000000001</v>
      </c>
      <c r="E8" s="25">
        <v>3.492</v>
      </c>
      <c r="F8" s="1" t="str">
        <f>HYPERLINK("http://www.ncbi.nlm.nih.gov/pubmed/?term=Gcnt1","Gcnt1")</f>
        <v>Gcnt1</v>
      </c>
    </row>
    <row r="9" spans="1:6" x14ac:dyDescent="0.25">
      <c r="A9" t="s">
        <v>559</v>
      </c>
      <c r="B9" t="s">
        <v>507</v>
      </c>
      <c r="C9" s="48">
        <v>1.6140000000000001</v>
      </c>
      <c r="D9" s="48">
        <v>2.1179999999999999</v>
      </c>
      <c r="E9" s="25">
        <v>3.42</v>
      </c>
      <c r="F9" s="1" t="str">
        <f>HYPERLINK("http://www.ncbi.nlm.nih.gov/pubmed/?term=Galnt4","Galnt4")</f>
        <v>Galnt4</v>
      </c>
    </row>
    <row r="10" spans="1:6" x14ac:dyDescent="0.25">
      <c r="A10" t="s">
        <v>1758</v>
      </c>
      <c r="B10" t="s">
        <v>264</v>
      </c>
      <c r="C10" s="26">
        <v>-1.0029999999999999</v>
      </c>
      <c r="D10" s="48">
        <v>1.611</v>
      </c>
      <c r="E10" s="24">
        <v>3.5310000000000001</v>
      </c>
      <c r="F10" s="1" t="str">
        <f>HYPERLINK("http://www.ncbi.nlm.nih.gov/pubmed/?term=Gcnt4","Gcnt4")</f>
        <v>Gcnt4</v>
      </c>
    </row>
    <row r="11" spans="1:6" x14ac:dyDescent="0.25">
      <c r="A11" t="s">
        <v>1887</v>
      </c>
      <c r="B11" t="s">
        <v>1353</v>
      </c>
      <c r="C11" s="26">
        <v>0.2409</v>
      </c>
      <c r="D11" s="24">
        <v>3.968</v>
      </c>
      <c r="E11" s="26">
        <v>-0.51659999999999995</v>
      </c>
      <c r="F11" s="1" t="str">
        <f>HYPERLINK("http://www.ncbi.nlm.nih.gov/pubmed/?term=Galnt14","Galnt14")</f>
        <v>Galnt14</v>
      </c>
    </row>
    <row r="12" spans="1:6" x14ac:dyDescent="0.25">
      <c r="A12" t="s">
        <v>770</v>
      </c>
      <c r="B12" t="s">
        <v>509</v>
      </c>
      <c r="C12" s="24">
        <v>4.3120000000000003</v>
      </c>
      <c r="D12" s="43">
        <v>5.3490000000000002</v>
      </c>
      <c r="E12" s="24">
        <v>4.2880000000000003</v>
      </c>
      <c r="F12" s="1" t="str">
        <f>HYPERLINK("http://www.ncbi.nlm.nih.gov/pubmed/?term=Galnt2","Galnt2")</f>
        <v>Galnt2</v>
      </c>
    </row>
    <row r="13" spans="1:6" x14ac:dyDescent="0.25">
      <c r="A13" t="s">
        <v>246</v>
      </c>
      <c r="B13" t="s">
        <v>490</v>
      </c>
      <c r="C13" s="24">
        <v>3.55</v>
      </c>
      <c r="D13" s="24">
        <v>3.532</v>
      </c>
      <c r="E13" s="12">
        <v>1.4039999999999999</v>
      </c>
      <c r="F13" s="1" t="str">
        <f>HYPERLINK("http://www.ncbi.nlm.nih.gov/pubmed/?term=St3gal2","St3gal2")</f>
        <v>St3gal2</v>
      </c>
    </row>
    <row r="14" spans="1:6" x14ac:dyDescent="0.25">
      <c r="A14" t="s">
        <v>1701</v>
      </c>
      <c r="B14" t="s">
        <v>759</v>
      </c>
      <c r="C14" s="24">
        <v>3.9580000000000002</v>
      </c>
      <c r="D14" s="25">
        <v>3.2810000000000001</v>
      </c>
      <c r="E14" s="25">
        <v>2.6280000000000001</v>
      </c>
      <c r="F14" s="1" t="str">
        <f>HYPERLINK("http://www.ncbi.nlm.nih.gov/pubmed/?term=C1galt1","C1galt1")</f>
        <v>C1galt1</v>
      </c>
    </row>
    <row r="15" spans="1:6" x14ac:dyDescent="0.25">
      <c r="A15" t="s">
        <v>751</v>
      </c>
      <c r="B15" t="s">
        <v>1355</v>
      </c>
      <c r="C15" s="24">
        <v>4.274</v>
      </c>
      <c r="D15" s="48">
        <v>1.982</v>
      </c>
      <c r="E15" s="25">
        <v>3.056</v>
      </c>
      <c r="F15" s="1" t="str">
        <f>HYPERLINK("http://www.ncbi.nlm.nih.gov/pubmed/?term=Galnt10","Galnt10")</f>
        <v>Galnt10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2040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2105</v>
      </c>
      <c r="B5" t="s">
        <v>1795</v>
      </c>
      <c r="C5" s="26">
        <v>-0.6603</v>
      </c>
      <c r="D5" s="22">
        <v>4.41</v>
      </c>
      <c r="E5" s="13">
        <v>0.9375</v>
      </c>
      <c r="F5" s="1" t="str">
        <f>HYPERLINK("http://www.ncbi.nlm.nih.gov/pubmed/?term=Aldh3a1","Aldh3a1")</f>
        <v>Aldh3a1</v>
      </c>
    </row>
    <row r="6" spans="1:6" x14ac:dyDescent="0.25">
      <c r="A6" t="s">
        <v>1889</v>
      </c>
      <c r="B6" t="s">
        <v>1377</v>
      </c>
      <c r="C6" s="26">
        <v>-2.4039999999999999</v>
      </c>
      <c r="D6" s="23">
        <v>1.841</v>
      </c>
      <c r="E6" s="33">
        <v>5.2469999999999999</v>
      </c>
      <c r="F6" s="1" t="str">
        <f>HYPERLINK("http://www.ncbi.nlm.nih.gov/pubmed/?term=Hal","Hal")</f>
        <v>Hal</v>
      </c>
    </row>
    <row r="7" spans="1:6" x14ac:dyDescent="0.25">
      <c r="A7" t="s">
        <v>2062</v>
      </c>
      <c r="B7" t="s">
        <v>1343</v>
      </c>
      <c r="C7" s="26">
        <v>0.4713</v>
      </c>
      <c r="D7" s="23">
        <v>2.2429999999999999</v>
      </c>
      <c r="E7" s="22">
        <v>4.0810000000000004</v>
      </c>
      <c r="F7" s="1" t="str">
        <f>HYPERLINK("http://www.ncbi.nlm.nih.gov/pubmed/?term=Aldh3b1","Aldh3b1")</f>
        <v>Aldh3b1</v>
      </c>
    </row>
    <row r="8" spans="1:6" x14ac:dyDescent="0.25">
      <c r="A8" t="s">
        <v>531</v>
      </c>
      <c r="B8" t="s">
        <v>1859</v>
      </c>
      <c r="C8" s="26">
        <v>-9.0130000000000002E-2</v>
      </c>
      <c r="D8" s="22">
        <v>3.669</v>
      </c>
      <c r="E8" s="43">
        <v>9.2420000000000009</v>
      </c>
      <c r="F8" s="1" t="str">
        <f>HYPERLINK("http://www.ncbi.nlm.nih.gov/pubmed/?term=Hdc","Hdc")</f>
        <v>Hdc</v>
      </c>
    </row>
    <row r="9" spans="1:6" x14ac:dyDescent="0.25">
      <c r="A9" t="s">
        <v>1831</v>
      </c>
      <c r="B9" t="s">
        <v>1047</v>
      </c>
      <c r="C9" s="26">
        <v>-1.891</v>
      </c>
      <c r="D9" s="22">
        <v>3.7509999999999999</v>
      </c>
      <c r="E9" s="2">
        <v>6.9809999999999999</v>
      </c>
      <c r="F9" s="1" t="str">
        <f>HYPERLINK("http://www.ncbi.nlm.nih.gov/pubmed/?term=Abp1","Abp1")</f>
        <v>Abp1</v>
      </c>
    </row>
    <row r="10" spans="1:6" x14ac:dyDescent="0.25">
      <c r="A10" t="s">
        <v>1248</v>
      </c>
      <c r="B10" t="s">
        <v>2158</v>
      </c>
      <c r="C10" s="33">
        <v>5.4740000000000002</v>
      </c>
      <c r="D10" s="45">
        <v>6.3890000000000002</v>
      </c>
      <c r="E10" s="22">
        <v>3.6019999999999999</v>
      </c>
      <c r="F10" s="1" t="str">
        <f>HYPERLINK("http://www.ncbi.nlm.nih.gov/pubmed/?term=Aldh2","Aldh2")</f>
        <v>Aldh2</v>
      </c>
    </row>
    <row r="11" spans="1:6" x14ac:dyDescent="0.25">
      <c r="A11" t="s">
        <v>683</v>
      </c>
      <c r="B11" t="s">
        <v>1793</v>
      </c>
      <c r="C11" s="45">
        <v>6.4889999999999999</v>
      </c>
      <c r="D11" s="45">
        <v>6.3239999999999998</v>
      </c>
      <c r="E11" s="33">
        <v>5.26</v>
      </c>
      <c r="F11" s="1" t="str">
        <f>HYPERLINK("http://www.ncbi.nlm.nih.gov/pubmed/?term=Aldh3a2","Aldh3a2")</f>
        <v>Aldh3a2</v>
      </c>
    </row>
    <row r="12" spans="1:6" x14ac:dyDescent="0.25">
      <c r="A12" t="s">
        <v>476</v>
      </c>
      <c r="B12" t="s">
        <v>2194</v>
      </c>
      <c r="C12" s="45">
        <v>5.8730000000000002</v>
      </c>
      <c r="D12" s="22">
        <v>4.1980000000000004</v>
      </c>
      <c r="E12" s="18">
        <v>3.476</v>
      </c>
      <c r="F12" s="1" t="str">
        <f>HYPERLINK("http://www.ncbi.nlm.nih.gov/pubmed/?term=Aldh7a1","Aldh7a1")</f>
        <v>Aldh7a1</v>
      </c>
    </row>
    <row r="13" spans="1:6" x14ac:dyDescent="0.25">
      <c r="A13" t="s">
        <v>1419</v>
      </c>
      <c r="B13" t="s">
        <v>1095</v>
      </c>
      <c r="C13" s="23">
        <v>1.913</v>
      </c>
      <c r="D13" s="23">
        <v>1.528</v>
      </c>
      <c r="E13" s="22">
        <v>4.2119999999999997</v>
      </c>
      <c r="F13" s="1" t="str">
        <f>HYPERLINK("http://www.ncbi.nlm.nih.gov/pubmed/?term=Maoa","Maoa")</f>
        <v>Maoa</v>
      </c>
    </row>
    <row r="14" spans="1:6" x14ac:dyDescent="0.25">
      <c r="A14" t="s">
        <v>1979</v>
      </c>
      <c r="B14" t="s">
        <v>1316</v>
      </c>
      <c r="C14" s="33">
        <v>5.0529999999999999</v>
      </c>
      <c r="D14" s="22">
        <v>3.5739999999999998</v>
      </c>
      <c r="E14" s="22">
        <v>3.59</v>
      </c>
      <c r="F14" s="1" t="str">
        <f>HYPERLINK("http://www.ncbi.nlm.nih.gov/pubmed/?term=Aldh9a1","Aldh9a1")</f>
        <v>Aldh9a1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492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1560</v>
      </c>
      <c r="B5" t="s">
        <v>1461</v>
      </c>
      <c r="C5" s="22">
        <v>3.3490000000000002</v>
      </c>
      <c r="D5" s="16">
        <v>5.23</v>
      </c>
      <c r="E5" s="3">
        <v>3.6280000000000001</v>
      </c>
      <c r="F5" s="1" t="str">
        <f>HYPERLINK("http://www.ncbi.nlm.nih.gov/pubmed/?term=Man1a","Man1a")</f>
        <v>Man1a</v>
      </c>
    </row>
    <row r="6" spans="1:6" x14ac:dyDescent="0.25">
      <c r="A6" t="s">
        <v>1145</v>
      </c>
      <c r="B6" t="s">
        <v>1773</v>
      </c>
      <c r="C6" s="22">
        <v>2.843</v>
      </c>
      <c r="D6" s="3">
        <v>4.4130000000000003</v>
      </c>
      <c r="E6" s="3">
        <v>3.52</v>
      </c>
      <c r="F6" s="1" t="str">
        <f>HYPERLINK("http://www.ncbi.nlm.nih.gov/pubmed/?term=Mgat4b","Mgat4b")</f>
        <v>Mgat4b</v>
      </c>
    </row>
    <row r="7" spans="1:6" x14ac:dyDescent="0.25">
      <c r="A7" t="s">
        <v>373</v>
      </c>
      <c r="B7" t="s">
        <v>1605</v>
      </c>
      <c r="C7" s="21">
        <v>1.349</v>
      </c>
      <c r="D7" s="16">
        <v>4.8650000000000002</v>
      </c>
      <c r="E7" s="41">
        <v>2.0459999999999998</v>
      </c>
      <c r="F7" s="1" t="str">
        <f>HYPERLINK("http://www.ncbi.nlm.nih.gov/pubmed/?term=Mgat5b","Mgat5b")</f>
        <v>Mgat5b</v>
      </c>
    </row>
    <row r="8" spans="1:6" x14ac:dyDescent="0.25">
      <c r="A8" t="s">
        <v>1372</v>
      </c>
      <c r="B8" t="s">
        <v>517</v>
      </c>
      <c r="C8" s="41">
        <v>1.7529999999999999</v>
      </c>
      <c r="D8" s="41">
        <v>1.9</v>
      </c>
      <c r="E8" s="3">
        <v>3.645</v>
      </c>
      <c r="F8" s="1" t="str">
        <f>HYPERLINK("http://www.ncbi.nlm.nih.gov/pubmed/?term=Glt28d2","Glt28d2")</f>
        <v>Glt28d2</v>
      </c>
    </row>
    <row r="9" spans="1:6" x14ac:dyDescent="0.25">
      <c r="A9" t="s">
        <v>1466</v>
      </c>
      <c r="B9" t="s">
        <v>312</v>
      </c>
      <c r="C9" s="3">
        <v>4.1790000000000003</v>
      </c>
      <c r="D9" s="3">
        <v>4.2039999999999997</v>
      </c>
      <c r="E9" s="43">
        <v>5.516</v>
      </c>
      <c r="F9" s="1" t="str">
        <f>HYPERLINK("http://www.ncbi.nlm.nih.gov/pubmed/?term=Man1b1","Man1b1")</f>
        <v>Man1b1</v>
      </c>
    </row>
    <row r="10" spans="1:6" x14ac:dyDescent="0.25">
      <c r="A10" t="s">
        <v>303</v>
      </c>
      <c r="B10" t="s">
        <v>489</v>
      </c>
      <c r="C10" s="3">
        <v>3.7810000000000001</v>
      </c>
      <c r="D10" s="3">
        <v>4.0430000000000001</v>
      </c>
      <c r="E10" s="41">
        <v>1.8340000000000001</v>
      </c>
      <c r="F10" s="1" t="str">
        <f>HYPERLINK("http://www.ncbi.nlm.nih.gov/pubmed/?term=Man1a2","Man1a2")</f>
        <v>Man1a2</v>
      </c>
    </row>
    <row r="11" spans="1:6" x14ac:dyDescent="0.25">
      <c r="A11" t="s">
        <v>350</v>
      </c>
      <c r="B11" t="s">
        <v>735</v>
      </c>
      <c r="C11" s="43">
        <v>7.125</v>
      </c>
      <c r="D11" s="16">
        <v>4.5069999999999997</v>
      </c>
      <c r="E11" s="22">
        <v>2.9980000000000002</v>
      </c>
      <c r="F11" s="1" t="str">
        <f>HYPERLINK("http://www.ncbi.nlm.nih.gov/pubmed/?term=Man2a1","Man2a1")</f>
        <v>Man2a1</v>
      </c>
    </row>
    <row r="12" spans="1:6" x14ac:dyDescent="0.25">
      <c r="A12" t="s">
        <v>135</v>
      </c>
      <c r="B12" t="s">
        <v>734</v>
      </c>
      <c r="C12" s="16">
        <v>4.6950000000000003</v>
      </c>
      <c r="D12" s="3">
        <v>4.1970000000000001</v>
      </c>
      <c r="E12" s="41">
        <v>2.0019999999999998</v>
      </c>
      <c r="F12" s="1" t="str">
        <f>HYPERLINK("http://www.ncbi.nlm.nih.gov/pubmed/?term=Man2a2","Man2a2")</f>
        <v>Man2a2</v>
      </c>
    </row>
    <row r="13" spans="1:6" x14ac:dyDescent="0.25">
      <c r="A13" t="s">
        <v>1121</v>
      </c>
      <c r="B13" t="s">
        <v>2093</v>
      </c>
      <c r="C13" s="43">
        <v>5.93</v>
      </c>
      <c r="D13" s="16">
        <v>4.6040000000000001</v>
      </c>
      <c r="E13" s="21">
        <v>1.3180000000000001</v>
      </c>
      <c r="F13" s="1" t="str">
        <f>HYPERLINK("http://www.ncbi.nlm.nih.gov/pubmed/?term=Mgat3","Mgat3")</f>
        <v>Mgat3</v>
      </c>
    </row>
    <row r="14" spans="1:6" x14ac:dyDescent="0.25">
      <c r="A14" t="s">
        <v>1257</v>
      </c>
      <c r="B14" t="s">
        <v>1928</v>
      </c>
      <c r="C14" s="3">
        <v>4</v>
      </c>
      <c r="D14" s="3">
        <v>3.5750000000000002</v>
      </c>
      <c r="E14" s="16">
        <v>4.8259999999999996</v>
      </c>
      <c r="F14" s="1" t="str">
        <f>HYPERLINK("http://www.ncbi.nlm.nih.gov/pubmed/?term=Fut8","Fut8")</f>
        <v>Fut8</v>
      </c>
    </row>
    <row r="15" spans="1:6" x14ac:dyDescent="0.25">
      <c r="A15" t="s">
        <v>700</v>
      </c>
      <c r="B15" t="s">
        <v>1378</v>
      </c>
      <c r="C15" s="3">
        <v>4.0110000000000001</v>
      </c>
      <c r="D15" s="22">
        <v>3.3929999999999998</v>
      </c>
      <c r="E15" s="3">
        <v>4.4059999999999997</v>
      </c>
      <c r="F15" s="1" t="str">
        <f>HYPERLINK("http://www.ncbi.nlm.nih.gov/pubmed/?term=Alg2","Alg2")</f>
        <v>Alg2</v>
      </c>
    </row>
    <row r="16" spans="1:6" x14ac:dyDescent="0.25">
      <c r="A16" t="s">
        <v>1371</v>
      </c>
      <c r="B16" t="s">
        <v>1379</v>
      </c>
      <c r="C16" s="3">
        <v>4.1719999999999997</v>
      </c>
      <c r="D16" s="3">
        <v>3.508</v>
      </c>
      <c r="E16" s="16">
        <v>5.2009999999999996</v>
      </c>
      <c r="F16" s="1" t="str">
        <f>HYPERLINK("http://www.ncbi.nlm.nih.gov/pubmed/?term=Alg6","Alg6")</f>
        <v>Alg6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588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1114</v>
      </c>
      <c r="B5" t="s">
        <v>336</v>
      </c>
      <c r="C5" s="12">
        <v>2.2010000000000001</v>
      </c>
      <c r="D5" s="46">
        <v>8.5250000000000004</v>
      </c>
      <c r="E5" s="24">
        <v>8.0510000000000002</v>
      </c>
      <c r="F5" s="1" t="str">
        <f>HYPERLINK("http://www.ncbi.nlm.nih.gov/pubmed/?term=C3","C3")</f>
        <v>C3</v>
      </c>
    </row>
    <row r="6" spans="1:6" x14ac:dyDescent="0.25">
      <c r="A6" t="s">
        <v>1231</v>
      </c>
      <c r="B6" t="s">
        <v>453</v>
      </c>
      <c r="C6" s="32">
        <v>3.1230000000000002</v>
      </c>
      <c r="D6" s="24">
        <v>7.5839999999999996</v>
      </c>
      <c r="E6" s="22">
        <v>5.0309999999999997</v>
      </c>
      <c r="F6" s="1" t="str">
        <f>HYPERLINK("http://www.ncbi.nlm.nih.gov/pubmed/?term=Gsn","Gsn")</f>
        <v>Gsn</v>
      </c>
    </row>
    <row r="7" spans="1:6" x14ac:dyDescent="0.25">
      <c r="A7" t="s">
        <v>853</v>
      </c>
      <c r="B7" t="s">
        <v>1990</v>
      </c>
      <c r="C7" s="26">
        <v>2.0140000000000002E-2</v>
      </c>
      <c r="D7" s="22">
        <v>5.3710000000000004</v>
      </c>
      <c r="E7" s="48">
        <v>4.4320000000000004</v>
      </c>
      <c r="F7" s="1" t="str">
        <f>HYPERLINK("http://www.ncbi.nlm.nih.gov/pubmed/?term=Ccnd1","Ccnd1")</f>
        <v>Ccnd1</v>
      </c>
    </row>
    <row r="8" spans="1:6" x14ac:dyDescent="0.25">
      <c r="A8" t="s">
        <v>85</v>
      </c>
      <c r="B8" t="s">
        <v>1966</v>
      </c>
      <c r="C8" s="22">
        <v>4.7370000000000001</v>
      </c>
      <c r="D8" s="24">
        <v>8.1150000000000002</v>
      </c>
      <c r="E8" s="24">
        <v>7.9050000000000002</v>
      </c>
      <c r="F8" s="1" t="str">
        <f>HYPERLINK("http://www.ncbi.nlm.nih.gov/pubmed/?term=H2-Q6","H2-Q6")</f>
        <v>H2-Q6</v>
      </c>
    </row>
    <row r="9" spans="1:6" x14ac:dyDescent="0.25">
      <c r="A9" t="s">
        <v>1657</v>
      </c>
      <c r="B9" t="s">
        <v>1991</v>
      </c>
      <c r="C9" s="22">
        <v>5.4219999999999997</v>
      </c>
      <c r="D9" s="22">
        <v>5.4290000000000003</v>
      </c>
      <c r="E9" s="29">
        <v>6.6429999999999998</v>
      </c>
      <c r="F9" s="1" t="str">
        <f>HYPERLINK("http://www.ncbi.nlm.nih.gov/pubmed/?term=Ccnd2","Ccnd2")</f>
        <v>Ccnd2</v>
      </c>
    </row>
    <row r="10" spans="1:6" x14ac:dyDescent="0.25">
      <c r="A10" t="s">
        <v>500</v>
      </c>
      <c r="B10" t="s">
        <v>935</v>
      </c>
      <c r="C10" s="12">
        <v>1.6679999999999999</v>
      </c>
      <c r="D10" s="32">
        <v>2.6640000000000001</v>
      </c>
      <c r="E10" s="32">
        <v>3.3370000000000002</v>
      </c>
      <c r="F10" s="1" t="str">
        <f>HYPERLINK("http://www.ncbi.nlm.nih.gov/pubmed/?term=Hpn","Hpn")</f>
        <v>Hpn</v>
      </c>
    </row>
    <row r="11" spans="1:6" x14ac:dyDescent="0.25">
      <c r="A11" t="s">
        <v>1216</v>
      </c>
      <c r="B11" t="s">
        <v>259</v>
      </c>
      <c r="C11" s="32">
        <v>2.5670000000000002</v>
      </c>
      <c r="D11" s="48">
        <v>3.6139999999999999</v>
      </c>
      <c r="E11" s="22">
        <v>4.75</v>
      </c>
      <c r="F11" s="1" t="str">
        <f>HYPERLINK("http://www.ncbi.nlm.nih.gov/pubmed/?term=Scin","Scin")</f>
        <v>Scin</v>
      </c>
    </row>
    <row r="12" spans="1:6" x14ac:dyDescent="0.25">
      <c r="A12" t="s">
        <v>538</v>
      </c>
      <c r="B12" t="s">
        <v>1263</v>
      </c>
      <c r="C12" s="22">
        <v>5.3659999999999997</v>
      </c>
      <c r="D12" s="22">
        <v>5.4429999999999996</v>
      </c>
      <c r="E12" s="29">
        <v>7.1589999999999998</v>
      </c>
      <c r="F12" s="1" t="str">
        <f>HYPERLINK("http://www.ncbi.nlm.nih.gov/pubmed/?term=Bax","Bax")</f>
        <v>Bax</v>
      </c>
    </row>
    <row r="13" spans="1:6" x14ac:dyDescent="0.25">
      <c r="A13" t="s">
        <v>390</v>
      </c>
      <c r="B13" t="s">
        <v>1712</v>
      </c>
      <c r="C13" s="25">
        <v>5.78</v>
      </c>
      <c r="D13" s="29">
        <v>6.601</v>
      </c>
      <c r="E13" s="24">
        <v>7.68</v>
      </c>
      <c r="F13" s="1" t="str">
        <f>HYPERLINK("http://www.ncbi.nlm.nih.gov/pubmed/?term=Stat3","Stat3")</f>
        <v>Stat3</v>
      </c>
    </row>
    <row r="14" spans="1:6" x14ac:dyDescent="0.25">
      <c r="A14" t="s">
        <v>389</v>
      </c>
      <c r="B14" t="s">
        <v>712</v>
      </c>
      <c r="C14" s="12">
        <v>2.3450000000000002</v>
      </c>
      <c r="D14" s="25">
        <v>5.5529999999999999</v>
      </c>
      <c r="E14" s="29">
        <v>6.5759999999999996</v>
      </c>
      <c r="F14" s="1" t="str">
        <f>HYPERLINK("http://www.ncbi.nlm.nih.gov/pubmed/?term=Stat5a","Stat5a")</f>
        <v>Stat5a</v>
      </c>
    </row>
    <row r="15" spans="1:6" x14ac:dyDescent="0.25">
      <c r="A15" t="s">
        <v>554</v>
      </c>
      <c r="B15" t="s">
        <v>187</v>
      </c>
      <c r="C15" s="26">
        <v>-2.899</v>
      </c>
      <c r="D15" s="12">
        <v>1.635</v>
      </c>
      <c r="E15" s="22">
        <v>4.7380000000000004</v>
      </c>
      <c r="F15" s="1" t="str">
        <f>HYPERLINK("http://www.ncbi.nlm.nih.gov/pubmed/?term=Hdac9","Hdac9")</f>
        <v>Hdac9</v>
      </c>
    </row>
    <row r="16" spans="1:6" x14ac:dyDescent="0.25">
      <c r="A16" t="s">
        <v>1888</v>
      </c>
      <c r="B16" t="s">
        <v>2061</v>
      </c>
      <c r="C16" s="32">
        <v>3.4020000000000001</v>
      </c>
      <c r="D16" s="48">
        <v>3.7090000000000001</v>
      </c>
      <c r="E16" s="48">
        <v>4.3440000000000003</v>
      </c>
      <c r="F16" s="1" t="str">
        <f>HYPERLINK("http://www.ncbi.nlm.nih.gov/pubmed/?term=Vac14","Vac14")</f>
        <v>Vac14</v>
      </c>
    </row>
    <row r="17" spans="1:6" x14ac:dyDescent="0.25">
      <c r="A17" t="s">
        <v>926</v>
      </c>
      <c r="B17" t="s">
        <v>1104</v>
      </c>
      <c r="C17" s="48">
        <v>3.8570000000000002</v>
      </c>
      <c r="D17" s="22">
        <v>4.992</v>
      </c>
      <c r="E17" s="25">
        <v>5.6529999999999996</v>
      </c>
      <c r="F17" s="1" t="str">
        <f>HYPERLINK("http://www.ncbi.nlm.nih.gov/pubmed/?term=H2-M3","H2-M3")</f>
        <v>H2-M3</v>
      </c>
    </row>
    <row r="18" spans="1:6" x14ac:dyDescent="0.25">
      <c r="A18" t="s">
        <v>1861</v>
      </c>
      <c r="B18" t="s">
        <v>1105</v>
      </c>
      <c r="C18" s="48">
        <v>4.3949999999999996</v>
      </c>
      <c r="D18" s="29">
        <v>6.8019999999999996</v>
      </c>
      <c r="E18" s="29">
        <v>7.444</v>
      </c>
      <c r="F18" s="1" t="str">
        <f>HYPERLINK("http://www.ncbi.nlm.nih.gov/pubmed/?term=H2-M2","H2-M2")</f>
        <v>H2-M2</v>
      </c>
    </row>
    <row r="19" spans="1:6" x14ac:dyDescent="0.25">
      <c r="A19" t="s">
        <v>57</v>
      </c>
      <c r="B19" t="s">
        <v>959</v>
      </c>
      <c r="C19" s="32">
        <v>3.3250000000000002</v>
      </c>
      <c r="D19" s="32">
        <v>3.4359999999999999</v>
      </c>
      <c r="E19" s="22">
        <v>5.4409999999999998</v>
      </c>
      <c r="F19" s="1" t="str">
        <f>HYPERLINK("http://www.ncbi.nlm.nih.gov/pubmed/?term=Gtf2a1","Gtf2a1")</f>
        <v>Gtf2a1</v>
      </c>
    </row>
    <row r="20" spans="1:6" x14ac:dyDescent="0.25">
      <c r="A20" t="s">
        <v>1599</v>
      </c>
      <c r="B20" t="s">
        <v>225</v>
      </c>
      <c r="C20" s="20">
        <v>0.73909999999999998</v>
      </c>
      <c r="D20" s="32">
        <v>3.1890000000000001</v>
      </c>
      <c r="E20" s="22">
        <v>4.5190000000000001</v>
      </c>
      <c r="F20" s="1" t="str">
        <f>HYPERLINK("http://www.ncbi.nlm.nih.gov/pubmed/?term=Syk","Syk")</f>
        <v>Syk</v>
      </c>
    </row>
    <row r="21" spans="1:6" x14ac:dyDescent="0.25">
      <c r="A21" t="s">
        <v>567</v>
      </c>
      <c r="B21" t="s">
        <v>1580</v>
      </c>
      <c r="C21" s="48">
        <v>3.569</v>
      </c>
      <c r="D21" s="25">
        <v>5.556</v>
      </c>
      <c r="E21" s="25">
        <v>6.1470000000000002</v>
      </c>
      <c r="F21" s="1" t="str">
        <f>HYPERLINK("http://www.ncbi.nlm.nih.gov/pubmed/?term=Cdkn1a","Cdkn1a")</f>
        <v>Cdkn1a</v>
      </c>
    </row>
    <row r="22" spans="1:6" x14ac:dyDescent="0.25">
      <c r="A22" t="s">
        <v>206</v>
      </c>
      <c r="B22" t="s">
        <v>1856</v>
      </c>
      <c r="C22" s="26">
        <v>-1.103</v>
      </c>
      <c r="D22" s="48">
        <v>3.819</v>
      </c>
      <c r="E22" s="48">
        <v>3.9089999999999998</v>
      </c>
      <c r="F22" s="1" t="str">
        <f>HYPERLINK("http://www.ncbi.nlm.nih.gov/pubmed/?term=Pmaip1","Pmaip1")</f>
        <v>Pmaip1</v>
      </c>
    </row>
    <row r="23" spans="1:6" x14ac:dyDescent="0.25">
      <c r="A23" t="s">
        <v>1851</v>
      </c>
      <c r="B23" t="s">
        <v>1249</v>
      </c>
      <c r="C23" s="25">
        <v>6.2190000000000003</v>
      </c>
      <c r="D23" s="25">
        <v>6.3710000000000004</v>
      </c>
      <c r="E23" s="24">
        <v>7.9530000000000003</v>
      </c>
      <c r="F23" s="1" t="str">
        <f>HYPERLINK("http://www.ncbi.nlm.nih.gov/pubmed/?term=Nfkb2","Nfkb2")</f>
        <v>Nfkb2</v>
      </c>
    </row>
    <row r="24" spans="1:6" x14ac:dyDescent="0.25">
      <c r="A24" t="s">
        <v>2023</v>
      </c>
      <c r="B24" t="s">
        <v>897</v>
      </c>
      <c r="C24" s="48">
        <v>4.37</v>
      </c>
      <c r="D24" s="22">
        <v>5.0970000000000004</v>
      </c>
      <c r="E24" s="22">
        <v>5.4119999999999999</v>
      </c>
      <c r="F24" s="1" t="str">
        <f>HYPERLINK("http://www.ncbi.nlm.nih.gov/pubmed/?term=Hras1","Hras1")</f>
        <v>Hras1</v>
      </c>
    </row>
    <row r="25" spans="1:6" x14ac:dyDescent="0.25">
      <c r="A25" t="s">
        <v>1226</v>
      </c>
      <c r="B25" t="s">
        <v>1317</v>
      </c>
      <c r="C25" s="26">
        <v>-0.19309999999999999</v>
      </c>
      <c r="D25" s="48">
        <v>3.6419999999999999</v>
      </c>
      <c r="E25" s="25">
        <v>5.7389999999999999</v>
      </c>
      <c r="F25" s="1" t="str">
        <f>HYPERLINK("http://www.ncbi.nlm.nih.gov/pubmed/?term=Traf1","Traf1")</f>
        <v>Traf1</v>
      </c>
    </row>
    <row r="26" spans="1:6" x14ac:dyDescent="0.25">
      <c r="A26" t="s">
        <v>577</v>
      </c>
      <c r="B26" t="s">
        <v>1318</v>
      </c>
      <c r="C26" s="48">
        <v>4.1280000000000001</v>
      </c>
      <c r="D26" s="48">
        <v>4.3479999999999999</v>
      </c>
      <c r="E26" s="22">
        <v>5.4850000000000003</v>
      </c>
      <c r="F26" s="1" t="str">
        <f>HYPERLINK("http://www.ncbi.nlm.nih.gov/pubmed/?term=Traf2","Traf2")</f>
        <v>Traf2</v>
      </c>
    </row>
    <row r="27" spans="1:6" x14ac:dyDescent="0.25">
      <c r="A27" t="s">
        <v>1958</v>
      </c>
      <c r="B27" t="s">
        <v>1965</v>
      </c>
      <c r="C27" s="22">
        <v>4.9290000000000003</v>
      </c>
      <c r="D27" s="22">
        <v>5.2320000000000002</v>
      </c>
      <c r="E27" s="25">
        <v>6.2359999999999998</v>
      </c>
      <c r="F27" s="1" t="str">
        <f>HYPERLINK("http://www.ncbi.nlm.nih.gov/pubmed/?term=Src","Src")</f>
        <v>Src</v>
      </c>
    </row>
    <row r="28" spans="1:6" x14ac:dyDescent="0.25">
      <c r="A28" t="s">
        <v>333</v>
      </c>
      <c r="B28" t="s">
        <v>1460</v>
      </c>
      <c r="C28" s="26">
        <v>0.44829999999999998</v>
      </c>
      <c r="D28" s="12">
        <v>2.1360000000000001</v>
      </c>
      <c r="E28" s="48">
        <v>3.8809999999999998</v>
      </c>
      <c r="F28" s="1" t="str">
        <f>HYPERLINK("http://www.ncbi.nlm.nih.gov/pubmed/?term=Pik3cb","Pik3cb")</f>
        <v>Pik3cb</v>
      </c>
    </row>
    <row r="29" spans="1:6" x14ac:dyDescent="0.25">
      <c r="A29" t="s">
        <v>1440</v>
      </c>
      <c r="B29" t="s">
        <v>873</v>
      </c>
      <c r="C29" s="32">
        <v>2.964</v>
      </c>
      <c r="D29" s="48">
        <v>3.5249999999999999</v>
      </c>
      <c r="E29" s="22">
        <v>4.9039999999999999</v>
      </c>
      <c r="F29" s="1" t="str">
        <f>HYPERLINK("http://www.ncbi.nlm.nih.gov/pubmed/?term=Rbpj","Rbpj")</f>
        <v>Rbpj</v>
      </c>
    </row>
    <row r="30" spans="1:6" x14ac:dyDescent="0.25">
      <c r="A30" t="s">
        <v>1116</v>
      </c>
      <c r="B30" t="s">
        <v>432</v>
      </c>
      <c r="C30" s="20">
        <v>1.321</v>
      </c>
      <c r="D30" s="32">
        <v>3.4740000000000002</v>
      </c>
      <c r="E30" s="48">
        <v>3.508</v>
      </c>
      <c r="F30" s="1" t="str">
        <f>HYPERLINK("http://www.ncbi.nlm.nih.gov/pubmed/?term=Lyn","Lyn")</f>
        <v>Lyn</v>
      </c>
    </row>
    <row r="31" spans="1:6" x14ac:dyDescent="0.25">
      <c r="A31" t="s">
        <v>823</v>
      </c>
      <c r="B31" t="s">
        <v>1992</v>
      </c>
      <c r="C31" s="26">
        <v>-2.1560000000000001</v>
      </c>
      <c r="D31" s="32">
        <v>3.274</v>
      </c>
      <c r="E31" s="48">
        <v>3.9910000000000001</v>
      </c>
      <c r="F31" s="1" t="str">
        <f>HYPERLINK("http://www.ncbi.nlm.nih.gov/pubmed/?term=Cdkn2a","Cdkn2a")</f>
        <v>Cdkn2a</v>
      </c>
    </row>
    <row r="32" spans="1:6" x14ac:dyDescent="0.25">
      <c r="A32" t="s">
        <v>2013</v>
      </c>
      <c r="B32" t="s">
        <v>493</v>
      </c>
      <c r="C32" s="26">
        <v>-1.0640000000000001</v>
      </c>
      <c r="D32" s="26">
        <v>-3.832E-2</v>
      </c>
      <c r="E32" s="22">
        <v>4.7910000000000004</v>
      </c>
      <c r="F32" s="1" t="str">
        <f>HYPERLINK("http://www.ncbi.nlm.nih.gov/pubmed/?term=Ccr4","Ccr4")</f>
        <v>Ccr4</v>
      </c>
    </row>
    <row r="33" spans="1:6" x14ac:dyDescent="0.25">
      <c r="A33" t="s">
        <v>1311</v>
      </c>
      <c r="B33" t="s">
        <v>1431</v>
      </c>
      <c r="C33" s="48">
        <v>4.4509999999999996</v>
      </c>
      <c r="D33" s="24">
        <v>8.4649999999999999</v>
      </c>
      <c r="E33" s="46">
        <v>8.5500000000000007</v>
      </c>
      <c r="F33" s="1" t="str">
        <f>HYPERLINK("http://www.ncbi.nlm.nih.gov/pubmed/?term=H2-Q7","H2-Q7")</f>
        <v>H2-Q7</v>
      </c>
    </row>
    <row r="34" spans="1:6" x14ac:dyDescent="0.25">
      <c r="A34" t="s">
        <v>300</v>
      </c>
      <c r="B34" t="s">
        <v>809</v>
      </c>
      <c r="C34" s="46">
        <v>8.6720000000000006</v>
      </c>
      <c r="D34" s="43">
        <v>10.43</v>
      </c>
      <c r="E34" s="43">
        <v>10.72</v>
      </c>
      <c r="F34" s="1" t="str">
        <f>HYPERLINK("http://www.ncbi.nlm.nih.gov/pubmed/?term=H2-K1","H2-K1")</f>
        <v>H2-K1</v>
      </c>
    </row>
    <row r="35" spans="1:6" x14ac:dyDescent="0.25">
      <c r="A35" t="s">
        <v>216</v>
      </c>
      <c r="B35" t="s">
        <v>586</v>
      </c>
      <c r="C35" s="29">
        <v>6.7060000000000004</v>
      </c>
      <c r="D35" s="24">
        <v>7.649</v>
      </c>
      <c r="E35" s="24">
        <v>7.8150000000000004</v>
      </c>
      <c r="F35" s="1" t="str">
        <f>HYPERLINK("http://www.ncbi.nlm.nih.gov/pubmed/?term=H2-T23","H2-T23")</f>
        <v>H2-T23</v>
      </c>
    </row>
    <row r="36" spans="1:6" x14ac:dyDescent="0.25">
      <c r="A36" t="s">
        <v>2141</v>
      </c>
      <c r="B36" t="s">
        <v>157</v>
      </c>
      <c r="C36" s="12">
        <v>2.1930000000000001</v>
      </c>
      <c r="D36" s="48">
        <v>4.2409999999999997</v>
      </c>
      <c r="E36" s="22">
        <v>4.5410000000000004</v>
      </c>
      <c r="F36" s="1" t="str">
        <f>HYPERLINK("http://www.ncbi.nlm.nih.gov/pubmed/?term=H2-Q10","H2-Q10")</f>
        <v>H2-Q10</v>
      </c>
    </row>
    <row r="37" spans="1:6" x14ac:dyDescent="0.25">
      <c r="A37" t="s">
        <v>247</v>
      </c>
      <c r="B37" t="s">
        <v>265</v>
      </c>
      <c r="C37" s="24">
        <v>8.1630000000000003</v>
      </c>
      <c r="D37" s="43">
        <v>10.1</v>
      </c>
      <c r="E37" s="43">
        <v>10.33</v>
      </c>
      <c r="F37" s="1" t="str">
        <f>HYPERLINK("http://www.ncbi.nlm.nih.gov/pubmed/?term=H2-D1","H2-D1")</f>
        <v>H2-D1</v>
      </c>
    </row>
    <row r="38" spans="1:6" x14ac:dyDescent="0.25">
      <c r="A38" t="s">
        <v>979</v>
      </c>
      <c r="B38" t="s">
        <v>1058</v>
      </c>
      <c r="C38" s="26">
        <v>-1.1819999999999999</v>
      </c>
      <c r="D38" s="48">
        <v>3.6190000000000002</v>
      </c>
      <c r="E38" s="22">
        <v>4.5949999999999998</v>
      </c>
      <c r="F38" s="1" t="str">
        <f>HYPERLINK("http://www.ncbi.nlm.nih.gov/pubmed/?term=Cdkn2b","Cdkn2b")</f>
        <v>Cdkn2b</v>
      </c>
    </row>
    <row r="39" spans="1:6" x14ac:dyDescent="0.25">
      <c r="A39" t="s">
        <v>1504</v>
      </c>
      <c r="B39" t="s">
        <v>1434</v>
      </c>
      <c r="C39" s="32">
        <v>3.0409999999999999</v>
      </c>
      <c r="D39" s="48">
        <v>3.6920000000000002</v>
      </c>
      <c r="E39" s="48">
        <v>3.9689999999999999</v>
      </c>
      <c r="F39" s="1" t="str">
        <f>HYPERLINK("http://www.ncbi.nlm.nih.gov/pubmed/?term=H2-Q2","H2-Q2")</f>
        <v>H2-Q2</v>
      </c>
    </row>
    <row r="40" spans="1:6" x14ac:dyDescent="0.25">
      <c r="A40" t="s">
        <v>1897</v>
      </c>
      <c r="B40" t="s">
        <v>125</v>
      </c>
      <c r="C40" s="25">
        <v>5.548</v>
      </c>
      <c r="D40" s="25">
        <v>5.7690000000000001</v>
      </c>
      <c r="E40" s="48">
        <v>3.58</v>
      </c>
      <c r="F40" s="1" t="str">
        <f>HYPERLINK("http://www.ncbi.nlm.nih.gov/pubmed/?term=Irf9","Irf9")</f>
        <v>Irf9</v>
      </c>
    </row>
    <row r="41" spans="1:6" x14ac:dyDescent="0.25">
      <c r="A41" t="s">
        <v>466</v>
      </c>
      <c r="B41" t="s">
        <v>1661</v>
      </c>
      <c r="C41" s="25">
        <v>5.5110000000000001</v>
      </c>
      <c r="D41" s="25">
        <v>5.8159999999999998</v>
      </c>
      <c r="E41" s="32">
        <v>2.956</v>
      </c>
      <c r="F41" s="1" t="str">
        <f>HYPERLINK("http://www.ncbi.nlm.nih.gov/pubmed/?term=Il6st","Il6st")</f>
        <v>Il6st</v>
      </c>
    </row>
    <row r="42" spans="1:6" x14ac:dyDescent="0.25">
      <c r="A42" t="s">
        <v>2063</v>
      </c>
      <c r="B42" t="s">
        <v>733</v>
      </c>
      <c r="C42" s="48">
        <v>4.2809999999999997</v>
      </c>
      <c r="D42" s="48">
        <v>4.3719999999999999</v>
      </c>
      <c r="E42" s="12">
        <v>2.37</v>
      </c>
      <c r="F42" s="1" t="str">
        <f>HYPERLINK("http://www.ncbi.nlm.nih.gov/pubmed/?term=Eif2ak2","Eif2ak2")</f>
        <v>Eif2ak2</v>
      </c>
    </row>
    <row r="43" spans="1:6" x14ac:dyDescent="0.25">
      <c r="A43" t="s">
        <v>1884</v>
      </c>
      <c r="B43" t="s">
        <v>2000</v>
      </c>
      <c r="C43" s="46">
        <v>8.7729999999999997</v>
      </c>
      <c r="D43" s="46">
        <v>9.0190000000000001</v>
      </c>
      <c r="E43" s="29">
        <v>7.4089999999999998</v>
      </c>
      <c r="F43" s="1" t="str">
        <f>HYPERLINK("http://www.ncbi.nlm.nih.gov/pubmed/?term=Jun","Jun")</f>
        <v>Jun</v>
      </c>
    </row>
    <row r="44" spans="1:6" x14ac:dyDescent="0.25">
      <c r="A44" t="s">
        <v>1297</v>
      </c>
      <c r="B44" t="s">
        <v>1557</v>
      </c>
      <c r="C44" s="48">
        <v>4.0659999999999998</v>
      </c>
      <c r="D44" s="48">
        <v>3.794</v>
      </c>
      <c r="E44" s="32">
        <v>2.5489999999999999</v>
      </c>
      <c r="F44" s="1" t="str">
        <f>HYPERLINK("http://www.ncbi.nlm.nih.gov/pubmed/?term=Kat2b","Kat2b")</f>
        <v>Kat2b</v>
      </c>
    </row>
    <row r="45" spans="1:6" x14ac:dyDescent="0.25">
      <c r="A45" t="s">
        <v>1840</v>
      </c>
      <c r="B45" t="s">
        <v>1579</v>
      </c>
      <c r="C45" s="22">
        <v>5.0369999999999999</v>
      </c>
      <c r="D45" s="48">
        <v>4.2450000000000001</v>
      </c>
      <c r="E45" s="48">
        <v>3.851</v>
      </c>
      <c r="F45" s="1" t="str">
        <f>HYPERLINK("http://www.ncbi.nlm.nih.gov/pubmed/?term=Cdkn1b","Cdkn1b")</f>
        <v>Cdkn1b</v>
      </c>
    </row>
    <row r="46" spans="1:6" x14ac:dyDescent="0.25">
      <c r="A46" t="s">
        <v>1506</v>
      </c>
      <c r="B46" t="s">
        <v>1331</v>
      </c>
      <c r="C46" s="22">
        <v>4.74</v>
      </c>
      <c r="D46" s="48">
        <v>3.9580000000000002</v>
      </c>
      <c r="E46" s="32">
        <v>2.786</v>
      </c>
      <c r="F46" s="1" t="str">
        <f>HYPERLINK("http://www.ncbi.nlm.nih.gov/pubmed/?term=Prkacb","Prkacb")</f>
        <v>Prkacb</v>
      </c>
    </row>
    <row r="47" spans="1:6" x14ac:dyDescent="0.25">
      <c r="A47" t="s">
        <v>1097</v>
      </c>
      <c r="B47" t="s">
        <v>1251</v>
      </c>
      <c r="C47" s="25">
        <v>5.7690000000000001</v>
      </c>
      <c r="D47" s="22">
        <v>5.1139999999999999</v>
      </c>
      <c r="E47" s="22">
        <v>4.6520000000000001</v>
      </c>
      <c r="F47" s="1" t="str">
        <f>HYPERLINK("http://www.ncbi.nlm.nih.gov/pubmed/?term=Mapkapk2","Mapkapk2")</f>
        <v>Mapkapk2</v>
      </c>
    </row>
    <row r="48" spans="1:6" x14ac:dyDescent="0.25">
      <c r="A48" t="s">
        <v>2200</v>
      </c>
      <c r="B48" t="s">
        <v>1154</v>
      </c>
      <c r="C48" s="29">
        <v>6.5910000000000002</v>
      </c>
      <c r="D48" s="25">
        <v>5.5590000000000002</v>
      </c>
      <c r="E48" s="22">
        <v>5.4420000000000002</v>
      </c>
      <c r="F48" s="1" t="str">
        <f>HYPERLINK("http://www.ncbi.nlm.nih.gov/pubmed/?term=Psmc1","Psmc1")</f>
        <v>Psmc1</v>
      </c>
    </row>
    <row r="49" spans="1:6" x14ac:dyDescent="0.25">
      <c r="A49" t="s">
        <v>122</v>
      </c>
      <c r="B49" t="s">
        <v>186</v>
      </c>
      <c r="C49" s="22">
        <v>5.3559999999999999</v>
      </c>
      <c r="D49" s="48">
        <v>3.5979999999999999</v>
      </c>
      <c r="E49" s="12">
        <v>2.3050000000000002</v>
      </c>
      <c r="F49" s="1" t="str">
        <f>HYPERLINK("http://www.ncbi.nlm.nih.gov/pubmed/?term=Hdac7","Hdac7")</f>
        <v>Hdac7</v>
      </c>
    </row>
    <row r="50" spans="1:6" x14ac:dyDescent="0.25">
      <c r="A50" t="s">
        <v>614</v>
      </c>
      <c r="B50" t="s">
        <v>1273</v>
      </c>
      <c r="C50" s="25">
        <v>6.1040000000000001</v>
      </c>
      <c r="D50" s="22">
        <v>4.5590000000000002</v>
      </c>
      <c r="E50" s="32">
        <v>3.2919999999999998</v>
      </c>
      <c r="F50" s="1" t="str">
        <f>HYPERLINK("http://www.ncbi.nlm.nih.gov/pubmed/?term=Ltbr","Ltbr")</f>
        <v>Ltbr</v>
      </c>
    </row>
    <row r="51" spans="1:6" x14ac:dyDescent="0.25">
      <c r="A51" t="s">
        <v>1205</v>
      </c>
      <c r="B51" t="s">
        <v>1329</v>
      </c>
      <c r="C51" s="25">
        <v>5.6820000000000004</v>
      </c>
      <c r="D51" s="22">
        <v>5.0220000000000002</v>
      </c>
      <c r="E51" s="22">
        <v>4.7060000000000004</v>
      </c>
      <c r="F51" s="1" t="str">
        <f>HYPERLINK("http://www.ncbi.nlm.nih.gov/pubmed/?term=Pik3r2","Pik3r2")</f>
        <v>Pik3r2</v>
      </c>
    </row>
    <row r="52" spans="1:6" x14ac:dyDescent="0.25">
      <c r="A52" t="s">
        <v>1255</v>
      </c>
      <c r="B52" t="s">
        <v>1951</v>
      </c>
      <c r="C52" s="22">
        <v>5.0060000000000002</v>
      </c>
      <c r="D52" s="22">
        <v>4.6840000000000002</v>
      </c>
      <c r="E52" s="48">
        <v>3.7050000000000001</v>
      </c>
      <c r="F52" s="1" t="str">
        <f>HYPERLINK("http://www.ncbi.nlm.nih.gov/pubmed/?term=Hdac11","Hdac11")</f>
        <v>Hdac11</v>
      </c>
    </row>
    <row r="53" spans="1:6" x14ac:dyDescent="0.25">
      <c r="A53" t="s">
        <v>232</v>
      </c>
      <c r="B53" t="s">
        <v>852</v>
      </c>
      <c r="C53" s="22">
        <v>5.3940000000000001</v>
      </c>
      <c r="D53" s="48">
        <v>3.6669999999999998</v>
      </c>
      <c r="E53" s="32">
        <v>3.407</v>
      </c>
      <c r="F53" s="1" t="str">
        <f>HYPERLINK("http://www.ncbi.nlm.nih.gov/pubmed/?term=Creb3l2","Creb3l2")</f>
        <v>Creb3l2</v>
      </c>
    </row>
    <row r="54" spans="1:6" x14ac:dyDescent="0.25">
      <c r="A54" t="s">
        <v>731</v>
      </c>
      <c r="B54" t="s">
        <v>1330</v>
      </c>
      <c r="C54" s="22">
        <v>4.9180000000000001</v>
      </c>
      <c r="D54" s="22">
        <v>4.8079999999999998</v>
      </c>
      <c r="E54" s="48">
        <v>3.7410000000000001</v>
      </c>
      <c r="F54" s="1" t="str">
        <f>HYPERLINK("http://www.ncbi.nlm.nih.gov/pubmed/?term=Pik3r1","Pik3r1")</f>
        <v>Pik3r1</v>
      </c>
    </row>
    <row r="55" spans="1:6" x14ac:dyDescent="0.25">
      <c r="A55" t="s">
        <v>1819</v>
      </c>
      <c r="B55" t="s">
        <v>1948</v>
      </c>
      <c r="C55" s="25">
        <v>6.0519999999999996</v>
      </c>
      <c r="D55" s="25">
        <v>5.57</v>
      </c>
      <c r="E55" s="24">
        <v>7.7460000000000004</v>
      </c>
      <c r="F55" s="1" t="str">
        <f>HYPERLINK("http://www.ncbi.nlm.nih.gov/pubmed/?term=Actn3","Actn3")</f>
        <v>Actn3</v>
      </c>
    </row>
    <row r="56" spans="1:6" x14ac:dyDescent="0.25">
      <c r="A56" t="s">
        <v>1780</v>
      </c>
      <c r="B56" t="s">
        <v>313</v>
      </c>
      <c r="C56" s="22">
        <v>4.6130000000000004</v>
      </c>
      <c r="D56" s="48">
        <v>3.7010000000000001</v>
      </c>
      <c r="E56" s="25">
        <v>5.5919999999999996</v>
      </c>
      <c r="F56" s="1" t="str">
        <f>HYPERLINK("http://www.ncbi.nlm.nih.gov/pubmed/?term=Cdk1","Cdk1")</f>
        <v>Cdk1</v>
      </c>
    </row>
    <row r="57" spans="1:6" x14ac:dyDescent="0.25">
      <c r="A57" t="s">
        <v>133</v>
      </c>
      <c r="B57" t="s">
        <v>1453</v>
      </c>
      <c r="C57" s="22">
        <v>4.9180000000000001</v>
      </c>
      <c r="D57" s="22">
        <v>4.5679999999999996</v>
      </c>
      <c r="E57" s="25">
        <v>5.891</v>
      </c>
      <c r="F57" s="1" t="str">
        <f>HYPERLINK("http://www.ncbi.nlm.nih.gov/pubmed/?term=Mdm2","Mdm2")</f>
        <v>Mdm2</v>
      </c>
    </row>
    <row r="58" spans="1:6" x14ac:dyDescent="0.25">
      <c r="A58" t="s">
        <v>967</v>
      </c>
      <c r="B58" t="s">
        <v>578</v>
      </c>
      <c r="C58" s="12">
        <v>2.2469999999999999</v>
      </c>
      <c r="D58" s="12">
        <v>1.6180000000000001</v>
      </c>
      <c r="E58" s="32">
        <v>3.3290000000000002</v>
      </c>
      <c r="F58" s="1" t="str">
        <f>HYPERLINK("http://www.ncbi.nlm.nih.gov/pubmed/?term=Rel","Rel")</f>
        <v>Rel</v>
      </c>
    </row>
    <row r="59" spans="1:6" x14ac:dyDescent="0.25">
      <c r="A59" t="s">
        <v>1177</v>
      </c>
      <c r="B59" t="s">
        <v>711</v>
      </c>
      <c r="C59" s="32">
        <v>3.2429999999999999</v>
      </c>
      <c r="D59" s="32">
        <v>2.9780000000000002</v>
      </c>
      <c r="E59" s="22">
        <v>4.7270000000000003</v>
      </c>
      <c r="F59" s="1" t="str">
        <f>HYPERLINK("http://www.ncbi.nlm.nih.gov/pubmed/?term=Stat5b","Stat5b")</f>
        <v>Stat5b</v>
      </c>
    </row>
    <row r="60" spans="1:6" x14ac:dyDescent="0.25">
      <c r="A60" t="s">
        <v>1852</v>
      </c>
      <c r="B60" t="s">
        <v>1070</v>
      </c>
      <c r="C60" s="24">
        <v>7.577</v>
      </c>
      <c r="D60" s="24">
        <v>7.5250000000000004</v>
      </c>
      <c r="E60" s="43">
        <v>9.6739999999999995</v>
      </c>
      <c r="F60" s="1" t="str">
        <f>HYPERLINK("http://www.ncbi.nlm.nih.gov/pubmed/?term=Nfkbia","Nfkbia")</f>
        <v>Nfkbia</v>
      </c>
    </row>
    <row r="61" spans="1:6" x14ac:dyDescent="0.25">
      <c r="A61" t="s">
        <v>1392</v>
      </c>
      <c r="B61" t="s">
        <v>1354</v>
      </c>
      <c r="C61" s="48">
        <v>3.589</v>
      </c>
      <c r="D61" s="26">
        <v>-5.0990000000000002</v>
      </c>
      <c r="E61" s="12">
        <v>2.1840000000000002</v>
      </c>
      <c r="F61" s="1" t="str">
        <f>HYPERLINK("http://www.ncbi.nlm.nih.gov/pubmed/?term=Ddx3y","Ddx3y")</f>
        <v>Ddx3y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1653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1114</v>
      </c>
      <c r="B5" t="s">
        <v>336</v>
      </c>
      <c r="C5" s="4">
        <v>2.2010000000000001</v>
      </c>
      <c r="D5" s="34">
        <v>8.5250000000000004</v>
      </c>
      <c r="E5" s="6">
        <v>8.0510000000000002</v>
      </c>
      <c r="F5" s="1" t="str">
        <f>HYPERLINK("http://www.ncbi.nlm.nih.gov/pubmed/?term=C3","C3")</f>
        <v>C3</v>
      </c>
    </row>
    <row r="6" spans="1:6" x14ac:dyDescent="0.25">
      <c r="A6" t="s">
        <v>611</v>
      </c>
      <c r="B6" t="s">
        <v>1960</v>
      </c>
      <c r="C6" s="30">
        <v>1.1930000000000001</v>
      </c>
      <c r="D6" s="44">
        <v>4.4550000000000001</v>
      </c>
      <c r="E6" s="4">
        <v>1.673</v>
      </c>
      <c r="F6" s="1" t="str">
        <f>HYPERLINK("http://www.ncbi.nlm.nih.gov/pubmed/?term=Oas3","Oas3")</f>
        <v>Oas3</v>
      </c>
    </row>
    <row r="7" spans="1:6" x14ac:dyDescent="0.25">
      <c r="A7" t="s">
        <v>1208</v>
      </c>
      <c r="B7" t="s">
        <v>587</v>
      </c>
      <c r="C7" s="44">
        <v>3.6619999999999999</v>
      </c>
      <c r="D7" s="31">
        <v>5.7629999999999999</v>
      </c>
      <c r="E7" s="44">
        <v>4.4850000000000003</v>
      </c>
      <c r="F7" s="1" t="str">
        <f>HYPERLINK("http://www.ncbi.nlm.nih.gov/pubmed/?term=H2-T22","H2-T22")</f>
        <v>H2-T22</v>
      </c>
    </row>
    <row r="8" spans="1:6" x14ac:dyDescent="0.25">
      <c r="A8" t="s">
        <v>85</v>
      </c>
      <c r="B8" t="s">
        <v>1966</v>
      </c>
      <c r="C8" s="5">
        <v>4.7370000000000001</v>
      </c>
      <c r="D8" s="6">
        <v>8.1150000000000002</v>
      </c>
      <c r="E8" s="6">
        <v>7.9050000000000002</v>
      </c>
      <c r="F8" s="1" t="str">
        <f>HYPERLINK("http://www.ncbi.nlm.nih.gov/pubmed/?term=H2-Q6","H2-Q6")</f>
        <v>H2-Q6</v>
      </c>
    </row>
    <row r="9" spans="1:6" x14ac:dyDescent="0.25">
      <c r="A9" t="s">
        <v>926</v>
      </c>
      <c r="B9" t="s">
        <v>1104</v>
      </c>
      <c r="C9" s="44">
        <v>3.8570000000000002</v>
      </c>
      <c r="D9" s="5">
        <v>4.992</v>
      </c>
      <c r="E9" s="31">
        <v>5.6529999999999996</v>
      </c>
      <c r="F9" s="1" t="str">
        <f>HYPERLINK("http://www.ncbi.nlm.nih.gov/pubmed/?term=H2-M3","H2-M3")</f>
        <v>H2-M3</v>
      </c>
    </row>
    <row r="10" spans="1:6" x14ac:dyDescent="0.25">
      <c r="A10" t="s">
        <v>1861</v>
      </c>
      <c r="B10" t="s">
        <v>1105</v>
      </c>
      <c r="C10" s="44">
        <v>4.3949999999999996</v>
      </c>
      <c r="D10" s="35">
        <v>6.8019999999999996</v>
      </c>
      <c r="E10" s="35">
        <v>7.444</v>
      </c>
      <c r="F10" s="1" t="str">
        <f>HYPERLINK("http://www.ncbi.nlm.nih.gov/pubmed/?term=H2-M2","H2-M2")</f>
        <v>H2-M2</v>
      </c>
    </row>
    <row r="11" spans="1:6" x14ac:dyDescent="0.25">
      <c r="A11" t="s">
        <v>696</v>
      </c>
      <c r="B11" t="s">
        <v>53</v>
      </c>
      <c r="C11" s="50">
        <v>2.851</v>
      </c>
      <c r="D11" s="50">
        <v>3.177</v>
      </c>
      <c r="E11" s="44">
        <v>3.8690000000000002</v>
      </c>
      <c r="F11" s="1" t="str">
        <f>HYPERLINK("http://www.ncbi.nlm.nih.gov/pubmed/?term=Per1","Per1")</f>
        <v>Per1</v>
      </c>
    </row>
    <row r="12" spans="1:6" x14ac:dyDescent="0.25">
      <c r="A12" t="s">
        <v>1487</v>
      </c>
      <c r="B12" t="s">
        <v>1618</v>
      </c>
      <c r="C12" s="44">
        <v>4.0289999999999999</v>
      </c>
      <c r="D12" s="5">
        <v>4.91</v>
      </c>
      <c r="E12" s="5">
        <v>5.2249999999999996</v>
      </c>
      <c r="F12" s="1" t="str">
        <f>HYPERLINK("http://www.ncbi.nlm.nih.gov/pubmed/?term=Ifngr2","Ifngr2")</f>
        <v>Ifngr2</v>
      </c>
    </row>
    <row r="13" spans="1:6" x14ac:dyDescent="0.25">
      <c r="A13" t="s">
        <v>656</v>
      </c>
      <c r="B13" t="s">
        <v>1049</v>
      </c>
      <c r="C13" s="26">
        <v>-1.929</v>
      </c>
      <c r="D13" s="30">
        <v>0.65049999999999997</v>
      </c>
      <c r="E13" s="44">
        <v>4.242</v>
      </c>
      <c r="F13" s="1" t="str">
        <f>HYPERLINK("http://www.ncbi.nlm.nih.gov/pubmed/?term=Tnf","Tnf")</f>
        <v>Tnf</v>
      </c>
    </row>
    <row r="14" spans="1:6" x14ac:dyDescent="0.25">
      <c r="A14" t="s">
        <v>986</v>
      </c>
      <c r="B14" t="s">
        <v>2073</v>
      </c>
      <c r="C14" s="4">
        <v>2.4039999999999999</v>
      </c>
      <c r="D14" s="44">
        <v>4.0590000000000002</v>
      </c>
      <c r="E14" s="31">
        <v>6.069</v>
      </c>
      <c r="F14" s="1" t="str">
        <f>HYPERLINK("http://www.ncbi.nlm.nih.gov/pubmed/?term=Fas","Fas")</f>
        <v>Fas</v>
      </c>
    </row>
    <row r="15" spans="1:6" x14ac:dyDescent="0.25">
      <c r="A15" t="s">
        <v>1226</v>
      </c>
      <c r="B15" t="s">
        <v>1317</v>
      </c>
      <c r="C15" s="26">
        <v>-0.19309999999999999</v>
      </c>
      <c r="D15" s="44">
        <v>3.6419999999999999</v>
      </c>
      <c r="E15" s="31">
        <v>5.7389999999999999</v>
      </c>
      <c r="F15" s="1" t="str">
        <f>HYPERLINK("http://www.ncbi.nlm.nih.gov/pubmed/?term=Traf1","Traf1")</f>
        <v>Traf1</v>
      </c>
    </row>
    <row r="16" spans="1:6" x14ac:dyDescent="0.25">
      <c r="A16" t="s">
        <v>577</v>
      </c>
      <c r="B16" t="s">
        <v>1318</v>
      </c>
      <c r="C16" s="44">
        <v>4.1280000000000001</v>
      </c>
      <c r="D16" s="44">
        <v>4.3479999999999999</v>
      </c>
      <c r="E16" s="5">
        <v>5.4850000000000003</v>
      </c>
      <c r="F16" s="1" t="str">
        <f>HYPERLINK("http://www.ncbi.nlm.nih.gov/pubmed/?term=Traf2","Traf2")</f>
        <v>Traf2</v>
      </c>
    </row>
    <row r="17" spans="1:6" x14ac:dyDescent="0.25">
      <c r="A17" t="s">
        <v>391</v>
      </c>
      <c r="B17" t="s">
        <v>558</v>
      </c>
      <c r="C17" s="26">
        <v>-2.9940000000000002</v>
      </c>
      <c r="D17" s="26">
        <v>-4.1790000000000001E-2</v>
      </c>
      <c r="E17" s="31">
        <v>6.1180000000000003</v>
      </c>
      <c r="F17" s="1" t="str">
        <f>HYPERLINK("http://www.ncbi.nlm.nih.gov/pubmed/?term=Il12a","Il12a")</f>
        <v>Il12a</v>
      </c>
    </row>
    <row r="18" spans="1:6" x14ac:dyDescent="0.25">
      <c r="A18" t="s">
        <v>1352</v>
      </c>
      <c r="B18" t="s">
        <v>2160</v>
      </c>
      <c r="C18" s="5">
        <v>4.5460000000000003</v>
      </c>
      <c r="D18" s="5">
        <v>4.9820000000000002</v>
      </c>
      <c r="E18" s="31">
        <v>6.2560000000000002</v>
      </c>
      <c r="F18" s="1" t="str">
        <f>HYPERLINK("http://www.ncbi.nlm.nih.gov/pubmed/?term=Ikbkb","Ikbkb")</f>
        <v>Ikbkb</v>
      </c>
    </row>
    <row r="19" spans="1:6" x14ac:dyDescent="0.25">
      <c r="A19" t="s">
        <v>1607</v>
      </c>
      <c r="B19" t="s">
        <v>386</v>
      </c>
      <c r="C19" s="50">
        <v>2.9220000000000002</v>
      </c>
      <c r="D19" s="50">
        <v>2.9729999999999999</v>
      </c>
      <c r="E19" s="44">
        <v>4.1470000000000002</v>
      </c>
      <c r="F19" s="1" t="str">
        <f>HYPERLINK("http://www.ncbi.nlm.nih.gov/pubmed/?term=Tyk2","Tyk2")</f>
        <v>Tyk2</v>
      </c>
    </row>
    <row r="20" spans="1:6" x14ac:dyDescent="0.25">
      <c r="A20" t="s">
        <v>22</v>
      </c>
      <c r="B20" t="s">
        <v>1430</v>
      </c>
      <c r="C20" s="50">
        <v>2.6739999999999999</v>
      </c>
      <c r="D20" s="50">
        <v>3.2469999999999999</v>
      </c>
      <c r="E20" s="5">
        <v>5.35</v>
      </c>
      <c r="F20" s="1" t="str">
        <f>HYPERLINK("http://www.ncbi.nlm.nih.gov/pubmed/?term=Ccl5","Ccl5")</f>
        <v>Ccl5</v>
      </c>
    </row>
    <row r="21" spans="1:6" x14ac:dyDescent="0.25">
      <c r="A21" t="s">
        <v>1956</v>
      </c>
      <c r="B21" t="s">
        <v>1715</v>
      </c>
      <c r="C21" s="31">
        <v>5.9130000000000003</v>
      </c>
      <c r="D21" s="31">
        <v>5.9269999999999996</v>
      </c>
      <c r="E21" s="6">
        <v>8.0259999999999998</v>
      </c>
      <c r="F21" s="1" t="str">
        <f>HYPERLINK("http://www.ncbi.nlm.nih.gov/pubmed/?term=H2-DMb2","H2-DMb2")</f>
        <v>H2-DMb2</v>
      </c>
    </row>
    <row r="22" spans="1:6" x14ac:dyDescent="0.25">
      <c r="A22" t="s">
        <v>1491</v>
      </c>
      <c r="B22" t="s">
        <v>1428</v>
      </c>
      <c r="C22" s="26">
        <v>-0.41930000000000001</v>
      </c>
      <c r="D22" s="4">
        <v>2.2890000000000001</v>
      </c>
      <c r="E22" s="35">
        <v>6.6079999999999997</v>
      </c>
      <c r="F22" s="1" t="str">
        <f>HYPERLINK("http://www.ncbi.nlm.nih.gov/pubmed/?term=H2-Ob","H2-Ob")</f>
        <v>H2-Ob</v>
      </c>
    </row>
    <row r="23" spans="1:6" x14ac:dyDescent="0.25">
      <c r="A23" t="s">
        <v>1287</v>
      </c>
      <c r="B23" t="s">
        <v>2163</v>
      </c>
      <c r="C23" s="30">
        <v>1.2130000000000001</v>
      </c>
      <c r="D23" s="50">
        <v>3.093</v>
      </c>
      <c r="E23" s="44">
        <v>4.367</v>
      </c>
      <c r="F23" s="1" t="str">
        <f>HYPERLINK("http://www.ncbi.nlm.nih.gov/pubmed/?term=Ikbke","Ikbke")</f>
        <v>Ikbke</v>
      </c>
    </row>
    <row r="24" spans="1:6" x14ac:dyDescent="0.25">
      <c r="A24" t="s">
        <v>840</v>
      </c>
      <c r="B24" t="s">
        <v>1445</v>
      </c>
      <c r="C24" s="26">
        <v>-4.0460000000000003</v>
      </c>
      <c r="D24" s="26">
        <v>-8.2879999999999995E-2</v>
      </c>
      <c r="E24" s="5">
        <v>4.6589999999999998</v>
      </c>
      <c r="F24" s="1" t="str">
        <f>HYPERLINK("http://www.ncbi.nlm.nih.gov/pubmed/?term=Tlr9","Tlr9")</f>
        <v>Tlr9</v>
      </c>
    </row>
    <row r="25" spans="1:6" x14ac:dyDescent="0.25">
      <c r="A25" t="s">
        <v>1311</v>
      </c>
      <c r="B25" t="s">
        <v>1431</v>
      </c>
      <c r="C25" s="44">
        <v>4.4509999999999996</v>
      </c>
      <c r="D25" s="6">
        <v>8.4649999999999999</v>
      </c>
      <c r="E25" s="34">
        <v>8.5500000000000007</v>
      </c>
      <c r="F25" s="1" t="str">
        <f>HYPERLINK("http://www.ncbi.nlm.nih.gov/pubmed/?term=H2-Q7","H2-Q7")</f>
        <v>H2-Q7</v>
      </c>
    </row>
    <row r="26" spans="1:6" x14ac:dyDescent="0.25">
      <c r="A26" t="s">
        <v>1401</v>
      </c>
      <c r="B26" t="s">
        <v>591</v>
      </c>
      <c r="C26" s="49">
        <v>9.7219999999999995</v>
      </c>
      <c r="D26" s="49">
        <v>9.8309999999999995</v>
      </c>
      <c r="E26" s="43">
        <v>11.67</v>
      </c>
      <c r="F26" s="1" t="str">
        <f>HYPERLINK("http://www.ncbi.nlm.nih.gov/pubmed/?term=H2-Eb1","H2-Eb1")</f>
        <v>H2-Eb1</v>
      </c>
    </row>
    <row r="27" spans="1:6" x14ac:dyDescent="0.25">
      <c r="A27" t="s">
        <v>300</v>
      </c>
      <c r="B27" t="s">
        <v>809</v>
      </c>
      <c r="C27" s="34">
        <v>8.6720000000000006</v>
      </c>
      <c r="D27" s="49">
        <v>10.43</v>
      </c>
      <c r="E27" s="43">
        <v>10.72</v>
      </c>
      <c r="F27" s="1" t="str">
        <f>HYPERLINK("http://www.ncbi.nlm.nih.gov/pubmed/?term=H2-K1","H2-K1")</f>
        <v>H2-K1</v>
      </c>
    </row>
    <row r="28" spans="1:6" x14ac:dyDescent="0.25">
      <c r="A28" t="s">
        <v>1170</v>
      </c>
      <c r="B28" t="s">
        <v>936</v>
      </c>
      <c r="C28" s="30">
        <v>1.103</v>
      </c>
      <c r="D28" s="5">
        <v>5.1909999999999998</v>
      </c>
      <c r="E28" s="31">
        <v>5.53</v>
      </c>
      <c r="F28" s="1" t="str">
        <f>HYPERLINK("http://www.ncbi.nlm.nih.gov/pubmed/?term=Rnasel","Rnasel")</f>
        <v>Rnasel</v>
      </c>
    </row>
    <row r="29" spans="1:6" x14ac:dyDescent="0.25">
      <c r="A29" t="s">
        <v>216</v>
      </c>
      <c r="B29" t="s">
        <v>586</v>
      </c>
      <c r="C29" s="35">
        <v>6.7060000000000004</v>
      </c>
      <c r="D29" s="6">
        <v>7.649</v>
      </c>
      <c r="E29" s="6">
        <v>7.8150000000000004</v>
      </c>
      <c r="F29" s="1" t="str">
        <f>HYPERLINK("http://www.ncbi.nlm.nih.gov/pubmed/?term=H2-T23","H2-T23")</f>
        <v>H2-T23</v>
      </c>
    </row>
    <row r="30" spans="1:6" x14ac:dyDescent="0.25">
      <c r="A30" t="s">
        <v>2141</v>
      </c>
      <c r="B30" t="s">
        <v>157</v>
      </c>
      <c r="C30" s="4">
        <v>2.1930000000000001</v>
      </c>
      <c r="D30" s="44">
        <v>4.2409999999999997</v>
      </c>
      <c r="E30" s="5">
        <v>4.5410000000000004</v>
      </c>
      <c r="F30" s="1" t="str">
        <f>HYPERLINK("http://www.ncbi.nlm.nih.gov/pubmed/?term=H2-Q10","H2-Q10")</f>
        <v>H2-Q10</v>
      </c>
    </row>
    <row r="31" spans="1:6" x14ac:dyDescent="0.25">
      <c r="A31" t="s">
        <v>247</v>
      </c>
      <c r="B31" t="s">
        <v>265</v>
      </c>
      <c r="C31" s="6">
        <v>8.1630000000000003</v>
      </c>
      <c r="D31" s="49">
        <v>10.1</v>
      </c>
      <c r="E31" s="49">
        <v>10.33</v>
      </c>
      <c r="F31" s="1" t="str">
        <f>HYPERLINK("http://www.ncbi.nlm.nih.gov/pubmed/?term=H2-D1","H2-D1")</f>
        <v>H2-D1</v>
      </c>
    </row>
    <row r="32" spans="1:6" x14ac:dyDescent="0.25">
      <c r="A32" t="s">
        <v>1504</v>
      </c>
      <c r="B32" t="s">
        <v>1434</v>
      </c>
      <c r="C32" s="50">
        <v>3.0409999999999999</v>
      </c>
      <c r="D32" s="44">
        <v>3.6920000000000002</v>
      </c>
      <c r="E32" s="44">
        <v>3.9689999999999999</v>
      </c>
      <c r="F32" s="1" t="str">
        <f>HYPERLINK("http://www.ncbi.nlm.nih.gov/pubmed/?term=H2-Q2","H2-Q2")</f>
        <v>H2-Q2</v>
      </c>
    </row>
    <row r="33" spans="1:6" x14ac:dyDescent="0.25">
      <c r="A33" t="s">
        <v>1897</v>
      </c>
      <c r="B33" t="s">
        <v>125</v>
      </c>
      <c r="C33" s="31">
        <v>5.548</v>
      </c>
      <c r="D33" s="31">
        <v>5.7690000000000001</v>
      </c>
      <c r="E33" s="44">
        <v>3.58</v>
      </c>
      <c r="F33" s="1" t="str">
        <f>HYPERLINK("http://www.ncbi.nlm.nih.gov/pubmed/?term=Irf9","Irf9")</f>
        <v>Irf9</v>
      </c>
    </row>
    <row r="34" spans="1:6" x14ac:dyDescent="0.25">
      <c r="A34" t="s">
        <v>1747</v>
      </c>
      <c r="B34" t="s">
        <v>1617</v>
      </c>
      <c r="C34" s="44">
        <v>4.47</v>
      </c>
      <c r="D34" s="31">
        <v>5.5170000000000003</v>
      </c>
      <c r="E34" s="44">
        <v>3.8849999999999998</v>
      </c>
      <c r="F34" s="1" t="str">
        <f>HYPERLINK("http://www.ncbi.nlm.nih.gov/pubmed/?term=Ifngr1","Ifngr1")</f>
        <v>Ifngr1</v>
      </c>
    </row>
    <row r="35" spans="1:6" x14ac:dyDescent="0.25">
      <c r="A35" t="s">
        <v>1045</v>
      </c>
      <c r="B35" t="s">
        <v>1412</v>
      </c>
      <c r="C35" s="6">
        <v>8.2629999999999999</v>
      </c>
      <c r="D35" s="34">
        <v>8.5969999999999995</v>
      </c>
      <c r="E35" s="35">
        <v>6.7990000000000004</v>
      </c>
      <c r="F35" s="1" t="str">
        <f>HYPERLINK("http://www.ncbi.nlm.nih.gov/pubmed/?term=Fos","Fos")</f>
        <v>Fos</v>
      </c>
    </row>
    <row r="36" spans="1:6" x14ac:dyDescent="0.25">
      <c r="A36" t="s">
        <v>1326</v>
      </c>
      <c r="B36" t="s">
        <v>1699</v>
      </c>
      <c r="C36" s="44">
        <v>4.1829999999999998</v>
      </c>
      <c r="D36" s="5">
        <v>4.7720000000000002</v>
      </c>
      <c r="E36" s="44">
        <v>3.6880000000000002</v>
      </c>
      <c r="F36" s="1" t="str">
        <f>HYPERLINK("http://www.ncbi.nlm.nih.gov/pubmed/?term=Ifnar2","Ifnar2")</f>
        <v>Ifnar2</v>
      </c>
    </row>
    <row r="37" spans="1:6" x14ac:dyDescent="0.25">
      <c r="A37" t="s">
        <v>2063</v>
      </c>
      <c r="B37" t="s">
        <v>733</v>
      </c>
      <c r="C37" s="44">
        <v>4.2809999999999997</v>
      </c>
      <c r="D37" s="44">
        <v>4.3719999999999999</v>
      </c>
      <c r="E37" s="4">
        <v>2.37</v>
      </c>
      <c r="F37" s="1" t="str">
        <f>HYPERLINK("http://www.ncbi.nlm.nih.gov/pubmed/?term=Eif2ak2","Eif2ak2")</f>
        <v>Eif2ak2</v>
      </c>
    </row>
    <row r="38" spans="1:6" x14ac:dyDescent="0.25">
      <c r="A38" t="s">
        <v>2022</v>
      </c>
      <c r="B38" t="s">
        <v>123</v>
      </c>
      <c r="C38" s="44">
        <v>4.4390000000000001</v>
      </c>
      <c r="D38" s="35">
        <v>7.2649999999999997</v>
      </c>
      <c r="E38" s="44">
        <v>3.5259999999999998</v>
      </c>
      <c r="F38" s="1" t="str">
        <f>HYPERLINK("http://www.ncbi.nlm.nih.gov/pubmed/?term=Irf7","Irf7")</f>
        <v>Irf7</v>
      </c>
    </row>
    <row r="39" spans="1:6" x14ac:dyDescent="0.25">
      <c r="A39" t="s">
        <v>410</v>
      </c>
      <c r="B39" t="s">
        <v>1801</v>
      </c>
      <c r="C39" s="5">
        <v>4.6349999999999998</v>
      </c>
      <c r="D39" s="5">
        <v>4.7809999999999997</v>
      </c>
      <c r="E39" s="50">
        <v>3.198</v>
      </c>
      <c r="F39" s="1" t="str">
        <f>HYPERLINK("http://www.ncbi.nlm.nih.gov/pubmed/?term=Ifih1","Ifih1")</f>
        <v>Ifih1</v>
      </c>
    </row>
    <row r="40" spans="1:6" x14ac:dyDescent="0.25">
      <c r="A40" t="s">
        <v>424</v>
      </c>
      <c r="B40" t="s">
        <v>796</v>
      </c>
      <c r="C40" s="4">
        <v>1.625</v>
      </c>
      <c r="D40" s="44">
        <v>3.5449999999999999</v>
      </c>
      <c r="E40" s="30">
        <v>1.3049999999999999</v>
      </c>
      <c r="F40" s="1" t="str">
        <f>HYPERLINK("http://www.ncbi.nlm.nih.gov/pubmed/?term=Oas1b","Oas1b")</f>
        <v>Oas1b</v>
      </c>
    </row>
    <row r="41" spans="1:6" x14ac:dyDescent="0.25">
      <c r="A41" t="s">
        <v>155</v>
      </c>
      <c r="B41" t="s">
        <v>1934</v>
      </c>
      <c r="C41" s="50">
        <v>3.375</v>
      </c>
      <c r="D41" s="5">
        <v>5.1559999999999997</v>
      </c>
      <c r="E41" s="50">
        <v>3.2610000000000001</v>
      </c>
      <c r="F41" s="1" t="str">
        <f>HYPERLINK("http://www.ncbi.nlm.nih.gov/pubmed/?term=Pou2f3","Pou2f3")</f>
        <v>Pou2f3</v>
      </c>
    </row>
    <row r="42" spans="1:6" x14ac:dyDescent="0.25">
      <c r="A42" t="s">
        <v>2118</v>
      </c>
      <c r="B42" t="s">
        <v>1961</v>
      </c>
      <c r="C42" s="26">
        <v>-2.4249999999999998</v>
      </c>
      <c r="D42" s="44">
        <v>4.0880000000000001</v>
      </c>
      <c r="E42" s="26">
        <v>-2.4369999999999998</v>
      </c>
      <c r="F42" s="1" t="str">
        <f>HYPERLINK("http://www.ncbi.nlm.nih.gov/pubmed/?term=Oas2","Oas2")</f>
        <v>Oas2</v>
      </c>
    </row>
    <row r="43" spans="1:6" x14ac:dyDescent="0.25">
      <c r="A43" t="s">
        <v>1986</v>
      </c>
      <c r="B43" t="s">
        <v>1713</v>
      </c>
      <c r="C43" s="44">
        <v>4.3099999999999996</v>
      </c>
      <c r="D43" s="31">
        <v>5.56</v>
      </c>
      <c r="E43" s="50">
        <v>3.3860000000000001</v>
      </c>
      <c r="F43" s="1" t="str">
        <f>HYPERLINK("http://www.ncbi.nlm.nih.gov/pubmed/?term=Stat2","Stat2")</f>
        <v>Stat2</v>
      </c>
    </row>
    <row r="44" spans="1:6" x14ac:dyDescent="0.25">
      <c r="A44" t="s">
        <v>575</v>
      </c>
      <c r="B44" t="s">
        <v>1686</v>
      </c>
      <c r="C44" s="5">
        <v>5.3390000000000004</v>
      </c>
      <c r="D44" s="5">
        <v>5.4109999999999996</v>
      </c>
      <c r="E44" s="4">
        <v>1.9830000000000001</v>
      </c>
      <c r="F44" s="1" t="str">
        <f>HYPERLINK("http://www.ncbi.nlm.nih.gov/pubmed/?term=Ddx58","Ddx58")</f>
        <v>Ddx58</v>
      </c>
    </row>
    <row r="45" spans="1:6" x14ac:dyDescent="0.25">
      <c r="A45" t="s">
        <v>1884</v>
      </c>
      <c r="B45" t="s">
        <v>2000</v>
      </c>
      <c r="C45" s="34">
        <v>8.7729999999999997</v>
      </c>
      <c r="D45" s="34">
        <v>9.0190000000000001</v>
      </c>
      <c r="E45" s="35">
        <v>7.4089999999999998</v>
      </c>
      <c r="F45" s="1" t="str">
        <f>HYPERLINK("http://www.ncbi.nlm.nih.gov/pubmed/?term=Jun","Jun")</f>
        <v>Jun</v>
      </c>
    </row>
    <row r="46" spans="1:6" x14ac:dyDescent="0.25">
      <c r="A46" t="s">
        <v>1735</v>
      </c>
      <c r="B46" t="s">
        <v>795</v>
      </c>
      <c r="C46" s="50">
        <v>3.1659999999999999</v>
      </c>
      <c r="D46" s="5">
        <v>4.7949999999999999</v>
      </c>
      <c r="E46" s="50">
        <v>2.8849999999999998</v>
      </c>
      <c r="F46" s="1" t="str">
        <f>HYPERLINK("http://www.ncbi.nlm.nih.gov/pubmed/?term=Oas1a","Oas1a")</f>
        <v>Oas1a</v>
      </c>
    </row>
    <row r="47" spans="1:6" x14ac:dyDescent="0.25">
      <c r="A47" t="s">
        <v>196</v>
      </c>
      <c r="B47" t="s">
        <v>1061</v>
      </c>
      <c r="C47" s="31">
        <v>5.9630000000000001</v>
      </c>
      <c r="D47" s="31">
        <v>5.5910000000000002</v>
      </c>
      <c r="E47" s="5">
        <v>4.8860000000000001</v>
      </c>
      <c r="F47" s="1" t="str">
        <f>HYPERLINK("http://www.ncbi.nlm.nih.gov/pubmed/?term=Srsf6","Srsf6")</f>
        <v>Srsf6</v>
      </c>
    </row>
    <row r="48" spans="1:6" x14ac:dyDescent="0.25">
      <c r="A48" t="s">
        <v>31</v>
      </c>
      <c r="B48" t="s">
        <v>400</v>
      </c>
      <c r="C48" s="44">
        <v>4.476</v>
      </c>
      <c r="D48" s="44">
        <v>3.5920000000000001</v>
      </c>
      <c r="E48" s="50">
        <v>3.4319999999999999</v>
      </c>
      <c r="F48" s="1" t="str">
        <f>HYPERLINK("http://www.ncbi.nlm.nih.gov/pubmed/?term=Mapk9","Mapk9")</f>
        <v>Mapk9</v>
      </c>
    </row>
    <row r="49" spans="1:6" x14ac:dyDescent="0.25">
      <c r="A49" t="s">
        <v>834</v>
      </c>
      <c r="B49" t="s">
        <v>1552</v>
      </c>
      <c r="C49" s="5">
        <v>4.516</v>
      </c>
      <c r="D49" s="44">
        <v>3.7549999999999999</v>
      </c>
      <c r="E49" s="50">
        <v>3.4649999999999999</v>
      </c>
      <c r="F49" s="1" t="str">
        <f>HYPERLINK("http://www.ncbi.nlm.nih.gov/pubmed/?term=Mapk8","Mapk8")</f>
        <v>Mapk8</v>
      </c>
    </row>
    <row r="50" spans="1:6" x14ac:dyDescent="0.25">
      <c r="A50" t="s">
        <v>1398</v>
      </c>
      <c r="B50" t="s">
        <v>36</v>
      </c>
      <c r="C50" s="44">
        <v>4.2149999999999999</v>
      </c>
      <c r="D50" s="50">
        <v>3.403</v>
      </c>
      <c r="E50" s="4">
        <v>2.5</v>
      </c>
      <c r="F50" s="1" t="str">
        <f>HYPERLINK("http://www.ncbi.nlm.nih.gov/pubmed/?term=Tab1","Tab1")</f>
        <v>Tab1</v>
      </c>
    </row>
    <row r="51" spans="1:6" x14ac:dyDescent="0.25">
      <c r="A51" t="s">
        <v>1162</v>
      </c>
      <c r="B51" t="s">
        <v>1995</v>
      </c>
      <c r="C51" s="43">
        <v>11.64</v>
      </c>
      <c r="D51" s="43">
        <v>11.45</v>
      </c>
      <c r="E51">
        <v>0</v>
      </c>
      <c r="F51" s="1" t="str">
        <f>HYPERLINK("http://www.ncbi.nlm.nih.gov/pubmed/?term=Cd74","Cd74")</f>
        <v>Cd74</v>
      </c>
    </row>
    <row r="52" spans="1:6" x14ac:dyDescent="0.25">
      <c r="A52" t="s">
        <v>233</v>
      </c>
      <c r="B52" t="s">
        <v>1714</v>
      </c>
      <c r="C52" s="35">
        <v>6.734</v>
      </c>
      <c r="D52" s="35">
        <v>6.7110000000000003</v>
      </c>
      <c r="E52" s="5">
        <v>5.4809999999999999</v>
      </c>
      <c r="F52" s="1" t="str">
        <f>HYPERLINK("http://www.ncbi.nlm.nih.gov/pubmed/?term=Stat1","Stat1")</f>
        <v>Stat1</v>
      </c>
    </row>
    <row r="53" spans="1:6" x14ac:dyDescent="0.25">
      <c r="A53" t="s">
        <v>242</v>
      </c>
      <c r="B53" t="s">
        <v>997</v>
      </c>
      <c r="C53" s="31">
        <v>6.056</v>
      </c>
      <c r="D53" s="5">
        <v>5.3730000000000002</v>
      </c>
      <c r="E53" s="44">
        <v>4.3070000000000004</v>
      </c>
      <c r="F53" s="1" t="str">
        <f>HYPERLINK("http://www.ncbi.nlm.nih.gov/pubmed/?term=Tnfrsf1a","Tnfrsf1a")</f>
        <v>Tnfrsf1a</v>
      </c>
    </row>
    <row r="54" spans="1:6" x14ac:dyDescent="0.25">
      <c r="A54" t="s">
        <v>1199</v>
      </c>
      <c r="B54" t="s">
        <v>1981</v>
      </c>
      <c r="C54" s="6">
        <v>8.0719999999999992</v>
      </c>
      <c r="D54" s="35">
        <v>7.1180000000000003</v>
      </c>
      <c r="E54" s="31">
        <v>6.3579999999999997</v>
      </c>
      <c r="F54" s="1" t="str">
        <f>HYPERLINK("http://www.ncbi.nlm.nih.gov/pubmed/?term=Hmgn1","Hmgn1")</f>
        <v>Hmgn1</v>
      </c>
    </row>
    <row r="55" spans="1:6" x14ac:dyDescent="0.25">
      <c r="A55" t="s">
        <v>2078</v>
      </c>
      <c r="B55" t="s">
        <v>1565</v>
      </c>
      <c r="C55" s="35">
        <v>7.383</v>
      </c>
      <c r="D55" s="35">
        <v>6.9610000000000003</v>
      </c>
      <c r="E55" s="5">
        <v>5.0860000000000003</v>
      </c>
      <c r="F55" s="1" t="str">
        <f>HYPERLINK("http://www.ncbi.nlm.nih.gov/pubmed/?term=Socs3","Socs3")</f>
        <v>Socs3</v>
      </c>
    </row>
    <row r="56" spans="1:6" x14ac:dyDescent="0.25">
      <c r="A56" t="s">
        <v>1780</v>
      </c>
      <c r="B56" t="s">
        <v>313</v>
      </c>
      <c r="C56" s="5">
        <v>4.6130000000000004</v>
      </c>
      <c r="D56" s="44">
        <v>3.7010000000000001</v>
      </c>
      <c r="E56" s="31">
        <v>5.5919999999999996</v>
      </c>
      <c r="F56" s="1" t="str">
        <f>HYPERLINK("http://www.ncbi.nlm.nih.gov/pubmed/?term=Cdk1","Cdk1")</f>
        <v>Cdk1</v>
      </c>
    </row>
    <row r="57" spans="1:6" x14ac:dyDescent="0.25">
      <c r="A57" t="s">
        <v>1852</v>
      </c>
      <c r="B57" t="s">
        <v>1070</v>
      </c>
      <c r="C57" s="6">
        <v>7.577</v>
      </c>
      <c r="D57" s="6">
        <v>7.5250000000000004</v>
      </c>
      <c r="E57" s="49">
        <v>9.6739999999999995</v>
      </c>
      <c r="F57" s="1" t="str">
        <f>HYPERLINK("http://www.ncbi.nlm.nih.gov/pubmed/?term=Nfkbia","Nfkbia")</f>
        <v>Nfkbia</v>
      </c>
    </row>
    <row r="58" spans="1:6" x14ac:dyDescent="0.25">
      <c r="A58" t="s">
        <v>1324</v>
      </c>
      <c r="B58" t="s">
        <v>1429</v>
      </c>
      <c r="C58" s="5">
        <v>5.2809999999999997</v>
      </c>
      <c r="D58" s="5">
        <v>5.2389999999999999</v>
      </c>
      <c r="E58" s="6">
        <v>8.2189999999999994</v>
      </c>
      <c r="F58" s="1" t="str">
        <f>HYPERLINK("http://www.ncbi.nlm.nih.gov/pubmed/?term=H2-Oa","H2-Oa")</f>
        <v>H2-Oa</v>
      </c>
    </row>
    <row r="59" spans="1:6" x14ac:dyDescent="0.25">
      <c r="A59" t="s">
        <v>529</v>
      </c>
      <c r="B59" t="s">
        <v>1321</v>
      </c>
      <c r="C59" s="50">
        <v>3.3559999999999999</v>
      </c>
      <c r="D59" s="50">
        <v>3.198</v>
      </c>
      <c r="E59" s="5">
        <v>5.0339999999999998</v>
      </c>
      <c r="F59" s="1" t="str">
        <f>HYPERLINK("http://www.ncbi.nlm.nih.gov/pubmed/?term=Traf6","Traf6")</f>
        <v>Traf6</v>
      </c>
    </row>
    <row r="60" spans="1:6" x14ac:dyDescent="0.25">
      <c r="A60" t="s">
        <v>1675</v>
      </c>
      <c r="B60" t="s">
        <v>1069</v>
      </c>
      <c r="C60" s="5">
        <v>4.6070000000000002</v>
      </c>
      <c r="D60" s="44">
        <v>3.927</v>
      </c>
      <c r="E60" s="5">
        <v>5.1689999999999996</v>
      </c>
      <c r="F60" s="1" t="str">
        <f>HYPERLINK("http://www.ncbi.nlm.nih.gov/pubmed/?term=Nfkbib","Nfkbib")</f>
        <v>Nfkbib</v>
      </c>
    </row>
    <row r="61" spans="1:6" x14ac:dyDescent="0.25">
      <c r="A61" t="s">
        <v>724</v>
      </c>
      <c r="B61" t="s">
        <v>931</v>
      </c>
      <c r="C61" s="50">
        <v>2.7850000000000001</v>
      </c>
      <c r="D61" s="50">
        <v>2.702</v>
      </c>
      <c r="E61" s="5">
        <v>5.0590000000000002</v>
      </c>
      <c r="F61" s="1" t="str">
        <f>HYPERLINK("http://www.ncbi.nlm.nih.gov/pubmed/?term=Il15","Il15")</f>
        <v>Il15</v>
      </c>
    </row>
    <row r="62" spans="1:6" x14ac:dyDescent="0.25">
      <c r="A62" t="s">
        <v>528</v>
      </c>
      <c r="B62" t="s">
        <v>1739</v>
      </c>
      <c r="C62" s="49">
        <v>10.41</v>
      </c>
      <c r="D62" s="49">
        <v>10.1</v>
      </c>
      <c r="E62" s="43">
        <v>12.37</v>
      </c>
      <c r="F62" s="1" t="str">
        <f>HYPERLINK("http://www.ncbi.nlm.nih.gov/pubmed/?term=H2-Aa","H2-Aa")</f>
        <v>H2-Aa</v>
      </c>
    </row>
    <row r="63" spans="1:6" x14ac:dyDescent="0.25">
      <c r="A63" t="s">
        <v>148</v>
      </c>
      <c r="B63" t="s">
        <v>1018</v>
      </c>
      <c r="C63" s="5">
        <v>5.1420000000000003</v>
      </c>
      <c r="D63" s="44">
        <v>4.2430000000000003</v>
      </c>
      <c r="E63" s="31">
        <v>5.6379999999999999</v>
      </c>
      <c r="F63" s="1" t="str">
        <f>HYPERLINK("http://www.ncbi.nlm.nih.gov/pubmed/?term=Tnfrsf14","Tnfrsf14")</f>
        <v>Tnfrsf14</v>
      </c>
    </row>
    <row r="64" spans="1:6" x14ac:dyDescent="0.25">
      <c r="A64" t="s">
        <v>1974</v>
      </c>
      <c r="B64" t="s">
        <v>1270</v>
      </c>
      <c r="C64" s="43">
        <v>10.67</v>
      </c>
      <c r="D64" s="49">
        <v>10.31</v>
      </c>
      <c r="E64" s="43">
        <v>12.36</v>
      </c>
      <c r="F64" s="1" t="str">
        <f>HYPERLINK("http://www.ncbi.nlm.nih.gov/pubmed/?term=H2-Ab1","H2-Ab1")</f>
        <v>H2-Ab1</v>
      </c>
    </row>
    <row r="65" spans="1:6" x14ac:dyDescent="0.25">
      <c r="A65" t="s">
        <v>1468</v>
      </c>
      <c r="B65" t="s">
        <v>1716</v>
      </c>
      <c r="C65" s="5">
        <v>5.3959999999999999</v>
      </c>
      <c r="D65" s="5">
        <v>5.0060000000000002</v>
      </c>
      <c r="E65" s="35">
        <v>6.9</v>
      </c>
      <c r="F65" s="1" t="str">
        <f>HYPERLINK("http://www.ncbi.nlm.nih.gov/pubmed/?term=H2-DMb1","H2-DMb1")</f>
        <v>H2-DMb1</v>
      </c>
    </row>
    <row r="66" spans="1:6" x14ac:dyDescent="0.25">
      <c r="A66" t="s">
        <v>865</v>
      </c>
      <c r="B66" t="s">
        <v>1044</v>
      </c>
      <c r="C66" s="35">
        <v>6.5350000000000001</v>
      </c>
      <c r="D66" s="5">
        <v>4.9409999999999998</v>
      </c>
      <c r="E66" s="31">
        <v>6.3239999999999998</v>
      </c>
      <c r="F66" s="1" t="str">
        <f>HYPERLINK("http://www.ncbi.nlm.nih.gov/pubmed/?term=H2-DMa","H2-DMa")</f>
        <v>H2-DMa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1613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120</v>
      </c>
      <c r="B5" t="s">
        <v>189</v>
      </c>
      <c r="C5" s="41">
        <v>2.8319999999999999</v>
      </c>
      <c r="D5" s="15">
        <v>4.4240000000000004</v>
      </c>
      <c r="E5" s="15">
        <v>4.3319999999999999</v>
      </c>
      <c r="F5" s="1" t="str">
        <f>HYPERLINK("http://www.ncbi.nlm.nih.gov/pubmed/?term=Notch1","Notch1")</f>
        <v>Notch1</v>
      </c>
    </row>
    <row r="6" spans="1:6" x14ac:dyDescent="0.25">
      <c r="A6" t="s">
        <v>1057</v>
      </c>
      <c r="B6" t="s">
        <v>1807</v>
      </c>
      <c r="C6" s="26">
        <v>-1.847</v>
      </c>
      <c r="D6" s="15">
        <v>3.5230000000000001</v>
      </c>
      <c r="E6" s="37">
        <v>1.589</v>
      </c>
      <c r="F6" s="1" t="str">
        <f>HYPERLINK("http://www.ncbi.nlm.nih.gov/pubmed/?term=Ncam1","Ncam1")</f>
        <v>Ncam1</v>
      </c>
    </row>
    <row r="7" spans="1:6" x14ac:dyDescent="0.25">
      <c r="A7" t="s">
        <v>1975</v>
      </c>
      <c r="B7" t="s">
        <v>1616</v>
      </c>
      <c r="C7" s="15">
        <v>4.4249999999999998</v>
      </c>
      <c r="D7" s="9">
        <v>6.9690000000000003</v>
      </c>
      <c r="E7" s="19">
        <v>5.39</v>
      </c>
      <c r="F7" s="1" t="str">
        <f>HYPERLINK("http://www.ncbi.nlm.nih.gov/pubmed/?term=Hspa1a","Hspa1a")</f>
        <v>Hspa1a</v>
      </c>
    </row>
    <row r="8" spans="1:6" x14ac:dyDescent="0.25">
      <c r="A8" t="s">
        <v>538</v>
      </c>
      <c r="B8" t="s">
        <v>1263</v>
      </c>
      <c r="C8" s="19">
        <v>5.3659999999999997</v>
      </c>
      <c r="D8" s="19">
        <v>5.4429999999999996</v>
      </c>
      <c r="E8" s="9">
        <v>7.1589999999999998</v>
      </c>
      <c r="F8" s="1" t="str">
        <f>HYPERLINK("http://www.ncbi.nlm.nih.gov/pubmed/?term=Bax","Bax")</f>
        <v>Bax</v>
      </c>
    </row>
    <row r="9" spans="1:6" x14ac:dyDescent="0.25">
      <c r="A9" t="s">
        <v>22</v>
      </c>
      <c r="B9" t="s">
        <v>1430</v>
      </c>
      <c r="C9" s="41">
        <v>2.6739999999999999</v>
      </c>
      <c r="D9" s="41">
        <v>3.2469999999999999</v>
      </c>
      <c r="E9" s="19">
        <v>5.35</v>
      </c>
      <c r="F9" s="1" t="str">
        <f>HYPERLINK("http://www.ncbi.nlm.nih.gov/pubmed/?term=Ccl5","Ccl5")</f>
        <v>Ccl5</v>
      </c>
    </row>
    <row r="10" spans="1:6" x14ac:dyDescent="0.25">
      <c r="A10" t="s">
        <v>190</v>
      </c>
      <c r="B10" t="s">
        <v>1651</v>
      </c>
      <c r="C10" s="3">
        <v>6.1950000000000003</v>
      </c>
      <c r="D10" s="9">
        <v>6.7649999999999997</v>
      </c>
      <c r="E10" s="39">
        <v>8.4090000000000007</v>
      </c>
      <c r="F10" s="1" t="str">
        <f>HYPERLINK("http://www.ncbi.nlm.nih.gov/pubmed/?term=Prnp","Prnp")</f>
        <v>Prnp</v>
      </c>
    </row>
    <row r="11" spans="1:6" x14ac:dyDescent="0.25">
      <c r="A11" t="s">
        <v>922</v>
      </c>
      <c r="B11" t="s">
        <v>2002</v>
      </c>
      <c r="C11" s="15">
        <v>3.9580000000000002</v>
      </c>
      <c r="D11" s="19">
        <v>4.5739999999999998</v>
      </c>
      <c r="E11" s="8">
        <v>0.68830000000000002</v>
      </c>
      <c r="F11" s="1" t="str">
        <f>HYPERLINK("http://www.ncbi.nlm.nih.gov/pubmed/?term=Casp12","Casp12")</f>
        <v>Casp12</v>
      </c>
    </row>
    <row r="12" spans="1:6" x14ac:dyDescent="0.25">
      <c r="A12" t="s">
        <v>1506</v>
      </c>
      <c r="B12" t="s">
        <v>1331</v>
      </c>
      <c r="C12" s="19">
        <v>4.74</v>
      </c>
      <c r="D12" s="15">
        <v>3.9580000000000002</v>
      </c>
      <c r="E12" s="41">
        <v>2.786</v>
      </c>
      <c r="F12" s="1" t="str">
        <f>HYPERLINK("http://www.ncbi.nlm.nih.gov/pubmed/?term=Prkacb","Prkacb")</f>
        <v>Prkacb</v>
      </c>
    </row>
    <row r="13" spans="1:6" x14ac:dyDescent="0.25">
      <c r="A13" t="s">
        <v>1211</v>
      </c>
      <c r="B13" t="s">
        <v>1946</v>
      </c>
      <c r="C13" s="3">
        <v>5.6539999999999999</v>
      </c>
      <c r="D13" s="15">
        <v>3.6970000000000001</v>
      </c>
      <c r="E13" s="37">
        <v>2.4590000000000001</v>
      </c>
      <c r="F13" s="1" t="str">
        <f>HYPERLINK("http://www.ncbi.nlm.nih.gov/pubmed/?term=Lamc1","Lamc1")</f>
        <v>Lamc1</v>
      </c>
    </row>
    <row r="14" spans="1:6" x14ac:dyDescent="0.25">
      <c r="A14" t="s">
        <v>347</v>
      </c>
      <c r="B14" t="s">
        <v>1015</v>
      </c>
      <c r="C14" s="39">
        <v>8.2129999999999992</v>
      </c>
      <c r="D14" s="39">
        <v>7.5190000000000001</v>
      </c>
      <c r="E14" s="9">
        <v>6.6369999999999996</v>
      </c>
      <c r="F14" s="1" t="str">
        <f>HYPERLINK("http://www.ncbi.nlm.nih.gov/pubmed/?term=Egr1","Egr1")</f>
        <v>Egr1</v>
      </c>
    </row>
    <row r="15" spans="1:6" x14ac:dyDescent="0.25">
      <c r="A15" t="s">
        <v>1064</v>
      </c>
      <c r="B15" t="s">
        <v>1457</v>
      </c>
      <c r="C15" s="39">
        <v>7.9160000000000004</v>
      </c>
      <c r="D15" s="39">
        <v>7.7110000000000003</v>
      </c>
      <c r="E15" s="43">
        <v>9.58</v>
      </c>
      <c r="F15" s="1" t="str">
        <f>HYPERLINK("http://www.ncbi.nlm.nih.gov/pubmed/?term=Hspa5","Hspa5")</f>
        <v>Hspa5</v>
      </c>
    </row>
    <row r="16" spans="1:6" x14ac:dyDescent="0.25">
      <c r="A16" t="s">
        <v>159</v>
      </c>
      <c r="B16" t="s">
        <v>1644</v>
      </c>
      <c r="C16" s="9">
        <v>6.5579999999999998</v>
      </c>
      <c r="D16" s="19">
        <v>4.7640000000000002</v>
      </c>
      <c r="E16" s="19">
        <v>5.4039999999999999</v>
      </c>
      <c r="F16" s="1" t="str">
        <f>HYPERLINK("http://www.ncbi.nlm.nih.gov/pubmed/?term=Map2k1","Map2k1")</f>
        <v>Map2k1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1016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1258</v>
      </c>
      <c r="B5" t="s">
        <v>288</v>
      </c>
      <c r="C5" s="22">
        <v>3.887</v>
      </c>
      <c r="D5" s="45">
        <v>5.8079999999999998</v>
      </c>
      <c r="E5" s="33">
        <v>4.7480000000000002</v>
      </c>
      <c r="F5" s="1" t="str">
        <f>HYPERLINK("http://www.ncbi.nlm.nih.gov/pubmed/?term=Sdc1","Sdc1")</f>
        <v>Sdc1</v>
      </c>
    </row>
    <row r="6" spans="1:6" x14ac:dyDescent="0.25">
      <c r="A6" t="s">
        <v>14</v>
      </c>
      <c r="B6" t="s">
        <v>2070</v>
      </c>
      <c r="C6" s="33">
        <v>5.2889999999999997</v>
      </c>
      <c r="D6" s="45">
        <v>6.4050000000000002</v>
      </c>
      <c r="E6" s="45">
        <v>5.78</v>
      </c>
      <c r="F6" s="1" t="str">
        <f>HYPERLINK("http://www.ncbi.nlm.nih.gov/pubmed/?term=Itgb4","Itgb4")</f>
        <v>Itgb4</v>
      </c>
    </row>
    <row r="7" spans="1:6" x14ac:dyDescent="0.25">
      <c r="A7" t="s">
        <v>1037</v>
      </c>
      <c r="B7" t="s">
        <v>2115</v>
      </c>
      <c r="C7" s="23">
        <v>1.8069999999999999</v>
      </c>
      <c r="D7" s="18">
        <v>3.476</v>
      </c>
      <c r="E7" s="18">
        <v>2.97</v>
      </c>
      <c r="F7" s="1" t="str">
        <f>HYPERLINK("http://www.ncbi.nlm.nih.gov/pubmed/?term=Col5a2","Col5a2")</f>
        <v>Col5a2</v>
      </c>
    </row>
    <row r="8" spans="1:6" x14ac:dyDescent="0.25">
      <c r="A8" t="s">
        <v>1648</v>
      </c>
      <c r="B8" t="s">
        <v>311</v>
      </c>
      <c r="C8" s="45">
        <v>5.6260000000000003</v>
      </c>
      <c r="D8" s="2">
        <v>7.0359999999999996</v>
      </c>
      <c r="E8" s="45">
        <v>6.3810000000000002</v>
      </c>
      <c r="F8" s="1" t="str">
        <f>HYPERLINK("http://www.ncbi.nlm.nih.gov/pubmed/?term=Itga6","Itga6")</f>
        <v>Itga6</v>
      </c>
    </row>
    <row r="9" spans="1:6" x14ac:dyDescent="0.25">
      <c r="A9" t="s">
        <v>798</v>
      </c>
      <c r="B9" t="s">
        <v>1797</v>
      </c>
      <c r="C9" s="23">
        <v>1.6739999999999999</v>
      </c>
      <c r="D9" s="22">
        <v>4.2290000000000001</v>
      </c>
      <c r="E9" s="18">
        <v>3.294</v>
      </c>
      <c r="F9" s="1" t="str">
        <f>HYPERLINK("http://www.ncbi.nlm.nih.gov/pubmed/?term=Thbs3","Thbs3")</f>
        <v>Thbs3</v>
      </c>
    </row>
    <row r="10" spans="1:6" x14ac:dyDescent="0.25">
      <c r="A10" t="s">
        <v>1307</v>
      </c>
      <c r="B10" t="s">
        <v>480</v>
      </c>
      <c r="C10" s="26">
        <v>-1.75</v>
      </c>
      <c r="D10" s="22">
        <v>4.1079999999999997</v>
      </c>
      <c r="E10" s="23">
        <v>1.897</v>
      </c>
      <c r="F10" s="1" t="str">
        <f>HYPERLINK("http://www.ncbi.nlm.nih.gov/pubmed/?term=Col6a4","Col6a4")</f>
        <v>Col6a4</v>
      </c>
    </row>
    <row r="11" spans="1:6" x14ac:dyDescent="0.25">
      <c r="A11" t="s">
        <v>789</v>
      </c>
      <c r="B11" t="s">
        <v>270</v>
      </c>
      <c r="C11" s="18">
        <v>2.6349999999999998</v>
      </c>
      <c r="D11" s="22">
        <v>3.5939999999999999</v>
      </c>
      <c r="E11" s="18">
        <v>2.9159999999999999</v>
      </c>
      <c r="F11" s="1" t="str">
        <f>HYPERLINK("http://www.ncbi.nlm.nih.gov/pubmed/?term=Col27a1","Col27a1")</f>
        <v>Col27a1</v>
      </c>
    </row>
    <row r="12" spans="1:6" x14ac:dyDescent="0.25">
      <c r="A12" t="s">
        <v>1811</v>
      </c>
      <c r="B12" t="s">
        <v>250</v>
      </c>
      <c r="C12" s="33">
        <v>4.5309999999999997</v>
      </c>
      <c r="D12" s="45">
        <v>6.2160000000000002</v>
      </c>
      <c r="E12" s="45">
        <v>5.593</v>
      </c>
      <c r="F12" s="1" t="str">
        <f>HYPERLINK("http://www.ncbi.nlm.nih.gov/pubmed/?term=Cd47","Cd47")</f>
        <v>Cd47</v>
      </c>
    </row>
    <row r="13" spans="1:6" x14ac:dyDescent="0.25">
      <c r="A13" t="s">
        <v>2080</v>
      </c>
      <c r="B13" t="s">
        <v>822</v>
      </c>
      <c r="C13" s="33">
        <v>5.1269999999999998</v>
      </c>
      <c r="D13" s="2">
        <v>7.452</v>
      </c>
      <c r="E13" s="18">
        <v>3.427</v>
      </c>
      <c r="F13" s="1" t="str">
        <f>HYPERLINK("http://www.ncbi.nlm.nih.gov/pubmed/?term=Col6a1","Col6a1")</f>
        <v>Col6a1</v>
      </c>
    </row>
    <row r="14" spans="1:6" x14ac:dyDescent="0.25">
      <c r="A14" t="s">
        <v>339</v>
      </c>
      <c r="B14" t="s">
        <v>249</v>
      </c>
      <c r="C14" s="33">
        <v>5.0460000000000003</v>
      </c>
      <c r="D14" s="45">
        <v>5.6239999999999997</v>
      </c>
      <c r="E14" s="33">
        <v>4.5259999999999998</v>
      </c>
      <c r="F14" s="1" t="str">
        <f>HYPERLINK("http://www.ncbi.nlm.nih.gov/pubmed/?term=Cd44","Cd44")</f>
        <v>Cd44</v>
      </c>
    </row>
    <row r="15" spans="1:6" x14ac:dyDescent="0.25">
      <c r="A15" t="s">
        <v>1674</v>
      </c>
      <c r="B15" t="s">
        <v>52</v>
      </c>
      <c r="C15" s="18">
        <v>3.4660000000000002</v>
      </c>
      <c r="D15" s="22">
        <v>3.9079999999999999</v>
      </c>
      <c r="E15" s="23">
        <v>2.2549999999999999</v>
      </c>
      <c r="F15" s="1" t="str">
        <f>HYPERLINK("http://www.ncbi.nlm.nih.gov/pubmed/?term=Lama5","Lama5")</f>
        <v>Lama5</v>
      </c>
    </row>
    <row r="16" spans="1:6" x14ac:dyDescent="0.25">
      <c r="A16" t="s">
        <v>1886</v>
      </c>
      <c r="B16" t="s">
        <v>290</v>
      </c>
      <c r="C16" s="45">
        <v>6.0250000000000004</v>
      </c>
      <c r="D16" s="45">
        <v>6.3129999999999997</v>
      </c>
      <c r="E16" s="33">
        <v>4.5629999999999997</v>
      </c>
      <c r="F16" s="1" t="str">
        <f>HYPERLINK("http://www.ncbi.nlm.nih.gov/pubmed/?term=Sdc4","Sdc4")</f>
        <v>Sdc4</v>
      </c>
    </row>
    <row r="17" spans="1:6" x14ac:dyDescent="0.25">
      <c r="A17" t="s">
        <v>504</v>
      </c>
      <c r="B17" t="s">
        <v>824</v>
      </c>
      <c r="C17" s="18">
        <v>3.298</v>
      </c>
      <c r="D17" s="2">
        <v>6.7389999999999999</v>
      </c>
      <c r="E17" s="23">
        <v>2.431</v>
      </c>
      <c r="F17" s="1" t="str">
        <f>HYPERLINK("http://www.ncbi.nlm.nih.gov/pubmed/?term=Col6a2","Col6a2")</f>
        <v>Col6a2</v>
      </c>
    </row>
    <row r="18" spans="1:6" x14ac:dyDescent="0.25">
      <c r="A18" t="s">
        <v>943</v>
      </c>
      <c r="B18" t="s">
        <v>2045</v>
      </c>
      <c r="C18" s="26">
        <v>-1.02</v>
      </c>
      <c r="D18" s="18">
        <v>3.4670000000000001</v>
      </c>
      <c r="E18" s="26">
        <v>-1.538</v>
      </c>
      <c r="F18" s="1" t="str">
        <f>HYPERLINK("http://www.ncbi.nlm.nih.gov/pubmed/?term=Thbs4","Thbs4")</f>
        <v>Thbs4</v>
      </c>
    </row>
    <row r="19" spans="1:6" x14ac:dyDescent="0.25">
      <c r="A19" t="s">
        <v>335</v>
      </c>
      <c r="B19" t="s">
        <v>50</v>
      </c>
      <c r="C19" s="33">
        <v>5.3849999999999998</v>
      </c>
      <c r="D19" s="45">
        <v>5.9589999999999996</v>
      </c>
      <c r="E19" s="22">
        <v>4.1619999999999999</v>
      </c>
      <c r="F19" s="1" t="str">
        <f>HYPERLINK("http://www.ncbi.nlm.nih.gov/pubmed/?term=Lama3","Lama3")</f>
        <v>Lama3</v>
      </c>
    </row>
    <row r="20" spans="1:6" x14ac:dyDescent="0.25">
      <c r="A20" t="s">
        <v>1210</v>
      </c>
      <c r="B20" t="s">
        <v>1944</v>
      </c>
      <c r="C20" s="33">
        <v>4.9720000000000004</v>
      </c>
      <c r="D20" s="45">
        <v>6.375</v>
      </c>
      <c r="E20" s="33">
        <v>4.8499999999999996</v>
      </c>
      <c r="F20" s="1" t="str">
        <f>HYPERLINK("http://www.ncbi.nlm.nih.gov/pubmed/?term=Lamc2","Lamc2")</f>
        <v>Lamc2</v>
      </c>
    </row>
    <row r="21" spans="1:6" x14ac:dyDescent="0.25">
      <c r="A21" t="s">
        <v>880</v>
      </c>
      <c r="B21" t="s">
        <v>1788</v>
      </c>
      <c r="C21" s="45">
        <v>5.6509999999999998</v>
      </c>
      <c r="D21" s="45">
        <v>5.7839999999999998</v>
      </c>
      <c r="E21" s="18">
        <v>2.7770000000000001</v>
      </c>
      <c r="F21" s="1" t="str">
        <f>HYPERLINK("http://www.ncbi.nlm.nih.gov/pubmed/?term=Lamb3","Lamb3")</f>
        <v>Lamb3</v>
      </c>
    </row>
    <row r="22" spans="1:6" x14ac:dyDescent="0.25">
      <c r="A22" t="s">
        <v>1806</v>
      </c>
      <c r="B22" t="s">
        <v>485</v>
      </c>
      <c r="C22" s="2">
        <v>6.548</v>
      </c>
      <c r="D22" s="2">
        <v>7.0190000000000001</v>
      </c>
      <c r="E22" s="33">
        <v>5.0270000000000001</v>
      </c>
      <c r="F22" s="1" t="str">
        <f>HYPERLINK("http://www.ncbi.nlm.nih.gov/pubmed/?term=Col4a1","Col4a1")</f>
        <v>Col4a1</v>
      </c>
    </row>
    <row r="23" spans="1:6" x14ac:dyDescent="0.25">
      <c r="A23" t="s">
        <v>849</v>
      </c>
      <c r="B23" t="s">
        <v>20</v>
      </c>
      <c r="C23" s="33">
        <v>5.2140000000000004</v>
      </c>
      <c r="D23" s="45">
        <v>5.5590000000000002</v>
      </c>
      <c r="E23" s="22">
        <v>3.8559999999999999</v>
      </c>
      <c r="F23" s="1" t="str">
        <f>HYPERLINK("http://www.ncbi.nlm.nih.gov/pubmed/?term=Dag1","Dag1")</f>
        <v>Dag1</v>
      </c>
    </row>
    <row r="24" spans="1:6" x14ac:dyDescent="0.25">
      <c r="A24" t="s">
        <v>2143</v>
      </c>
      <c r="B24" t="s">
        <v>978</v>
      </c>
      <c r="C24" s="45">
        <v>5.7229999999999999</v>
      </c>
      <c r="D24" s="45">
        <v>6.0330000000000004</v>
      </c>
      <c r="E24" s="22">
        <v>4.4420000000000002</v>
      </c>
      <c r="F24" s="1" t="str">
        <f>HYPERLINK("http://www.ncbi.nlm.nih.gov/pubmed/?term=Agrn","Agrn")</f>
        <v>Agrn</v>
      </c>
    </row>
    <row r="25" spans="1:6" x14ac:dyDescent="0.25">
      <c r="A25" t="s">
        <v>846</v>
      </c>
      <c r="B25" t="s">
        <v>2071</v>
      </c>
      <c r="C25" s="22">
        <v>3.79</v>
      </c>
      <c r="D25" s="26">
        <v>0.25290000000000001</v>
      </c>
      <c r="E25" s="26">
        <v>-1.006</v>
      </c>
      <c r="F25" s="1" t="str">
        <f>HYPERLINK("http://www.ncbi.nlm.nih.gov/pubmed/?term=Itgb7","Itgb7")</f>
        <v>Itgb7</v>
      </c>
    </row>
    <row r="26" spans="1:6" x14ac:dyDescent="0.25">
      <c r="A26" t="s">
        <v>1619</v>
      </c>
      <c r="B26" t="s">
        <v>1787</v>
      </c>
      <c r="C26" s="45">
        <v>6.2549999999999999</v>
      </c>
      <c r="D26" s="45">
        <v>5.7009999999999996</v>
      </c>
      <c r="E26" s="18">
        <v>3.476</v>
      </c>
      <c r="F26" s="1" t="str">
        <f>HYPERLINK("http://www.ncbi.nlm.nih.gov/pubmed/?term=Lamb1","Lamb1")</f>
        <v>Lamb1</v>
      </c>
    </row>
    <row r="27" spans="1:6" x14ac:dyDescent="0.25">
      <c r="A27" t="s">
        <v>961</v>
      </c>
      <c r="B27" t="s">
        <v>51</v>
      </c>
      <c r="C27" s="22">
        <v>4.2140000000000004</v>
      </c>
      <c r="D27" s="22">
        <v>3.5419999999999998</v>
      </c>
      <c r="E27" s="23">
        <v>2.4350000000000001</v>
      </c>
      <c r="F27" s="1" t="str">
        <f>HYPERLINK("http://www.ncbi.nlm.nih.gov/pubmed/?term=Lama4","Lama4")</f>
        <v>Lama4</v>
      </c>
    </row>
    <row r="28" spans="1:6" x14ac:dyDescent="0.25">
      <c r="A28" t="s">
        <v>11</v>
      </c>
      <c r="B28" t="s">
        <v>1796</v>
      </c>
      <c r="C28" s="33">
        <v>4.6790000000000003</v>
      </c>
      <c r="D28" s="18">
        <v>2.919</v>
      </c>
      <c r="E28" s="18">
        <v>2.6720000000000002</v>
      </c>
      <c r="F28" s="1" t="str">
        <f>HYPERLINK("http://www.ncbi.nlm.nih.gov/pubmed/?term=Thbs2","Thbs2")</f>
        <v>Thbs2</v>
      </c>
    </row>
    <row r="29" spans="1:6" x14ac:dyDescent="0.25">
      <c r="A29" t="s">
        <v>1211</v>
      </c>
      <c r="B29" t="s">
        <v>1946</v>
      </c>
      <c r="C29" s="45">
        <v>5.6539999999999999</v>
      </c>
      <c r="D29" s="22">
        <v>3.6970000000000001</v>
      </c>
      <c r="E29" s="23">
        <v>2.4590000000000001</v>
      </c>
      <c r="F29" s="1" t="str">
        <f>HYPERLINK("http://www.ncbi.nlm.nih.gov/pubmed/?term=Lamc1","Lamc1")</f>
        <v>Lamc1</v>
      </c>
    </row>
    <row r="30" spans="1:6" x14ac:dyDescent="0.25">
      <c r="A30" t="s">
        <v>1544</v>
      </c>
      <c r="B30" t="s">
        <v>774</v>
      </c>
      <c r="C30" s="22">
        <v>3.528</v>
      </c>
      <c r="D30" s="13">
        <v>0.76790000000000003</v>
      </c>
      <c r="E30" s="26">
        <v>-0.55920000000000003</v>
      </c>
      <c r="F30" s="1" t="str">
        <f>HYPERLINK("http://www.ncbi.nlm.nih.gov/pubmed/?term=Col4a5","Col4a5")</f>
        <v>Col4a5</v>
      </c>
    </row>
    <row r="31" spans="1:6" x14ac:dyDescent="0.25">
      <c r="A31" t="s">
        <v>1805</v>
      </c>
      <c r="B31" t="s">
        <v>781</v>
      </c>
      <c r="C31" s="2">
        <v>6.66</v>
      </c>
      <c r="D31" s="45">
        <v>6.1059999999999999</v>
      </c>
      <c r="E31" s="22">
        <v>4.1219999999999999</v>
      </c>
      <c r="F31" s="1" t="str">
        <f>HYPERLINK("http://www.ncbi.nlm.nih.gov/pubmed/?term=Col4a2","Col4a2")</f>
        <v>Col4a2</v>
      </c>
    </row>
    <row r="32" spans="1:6" x14ac:dyDescent="0.25">
      <c r="A32" t="s">
        <v>1489</v>
      </c>
      <c r="B32" t="s">
        <v>963</v>
      </c>
      <c r="C32" s="18">
        <v>2.7290000000000001</v>
      </c>
      <c r="D32" s="23">
        <v>2.351</v>
      </c>
      <c r="E32" s="22">
        <v>3.516</v>
      </c>
      <c r="F32" s="1" t="str">
        <f>HYPERLINK("http://www.ncbi.nlm.nih.gov/pubmed/?term=Hmmr","Hmmr")</f>
        <v>Hmmr</v>
      </c>
    </row>
    <row r="33" spans="1:6" x14ac:dyDescent="0.25">
      <c r="A33" t="s">
        <v>1029</v>
      </c>
      <c r="B33" t="s">
        <v>1277</v>
      </c>
      <c r="C33" s="2">
        <v>6.9329999999999998</v>
      </c>
      <c r="D33" s="18">
        <v>3.0720000000000001</v>
      </c>
      <c r="E33" s="22">
        <v>4.2380000000000004</v>
      </c>
      <c r="F33" s="1" t="str">
        <f>HYPERLINK("http://www.ncbi.nlm.nih.gov/pubmed/?term=Fn1","Fn1")</f>
        <v>Fn1</v>
      </c>
    </row>
    <row r="34" spans="1:6" x14ac:dyDescent="0.25">
      <c r="A34" t="s">
        <v>1871</v>
      </c>
      <c r="B34" t="s">
        <v>1050</v>
      </c>
      <c r="C34" s="43">
        <v>9.1940000000000008</v>
      </c>
      <c r="D34" s="43">
        <v>7.9320000000000004</v>
      </c>
      <c r="E34" s="43">
        <v>8.5749999999999993</v>
      </c>
      <c r="F34" s="1" t="str">
        <f>HYPERLINK("http://www.ncbi.nlm.nih.gov/pubmed/?term=Tnc","Tnc")</f>
        <v>Tnc</v>
      </c>
    </row>
    <row r="35" spans="1:6" x14ac:dyDescent="0.25">
      <c r="A35" t="s">
        <v>2184</v>
      </c>
      <c r="B35" t="s">
        <v>1756</v>
      </c>
      <c r="C35" s="22">
        <v>4.03</v>
      </c>
      <c r="D35" s="18">
        <v>2.68</v>
      </c>
      <c r="E35" s="22">
        <v>3.5270000000000001</v>
      </c>
      <c r="F35" s="1" t="str">
        <f>HYPERLINK("http://www.ncbi.nlm.nih.gov/pubmed/?term=Hspg2","Hspg2")</f>
        <v>Hspg2</v>
      </c>
    </row>
    <row r="36" spans="1:6" x14ac:dyDescent="0.25">
      <c r="A36" t="s">
        <v>220</v>
      </c>
      <c r="B36" t="s">
        <v>2106</v>
      </c>
      <c r="C36" s="45">
        <v>5.9729999999999999</v>
      </c>
      <c r="D36" s="18">
        <v>2.8090000000000002</v>
      </c>
      <c r="E36" s="22">
        <v>4.3529999999999998</v>
      </c>
      <c r="F36" s="1" t="str">
        <f>HYPERLINK("http://www.ncbi.nlm.nih.gov/pubmed/?term=Npnt","Npnt")</f>
        <v>Npnt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1707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1971</v>
      </c>
      <c r="B5" t="s">
        <v>671</v>
      </c>
      <c r="C5" s="26">
        <v>-2.4889999999999999</v>
      </c>
      <c r="D5" s="48">
        <v>3.9620000000000002</v>
      </c>
      <c r="E5" s="20">
        <v>1.2070000000000001</v>
      </c>
      <c r="F5" s="1" t="str">
        <f>HYPERLINK("http://www.ncbi.nlm.nih.gov/pubmed/?term=Pgf","Pgf")</f>
        <v>Pgf</v>
      </c>
    </row>
    <row r="6" spans="1:6" x14ac:dyDescent="0.25">
      <c r="A6" t="s">
        <v>2016</v>
      </c>
      <c r="B6" t="s">
        <v>1464</v>
      </c>
      <c r="C6" s="26">
        <v>-0.25159999999999999</v>
      </c>
      <c r="D6" s="22">
        <v>4.952</v>
      </c>
      <c r="E6" s="20">
        <v>0.69540000000000002</v>
      </c>
      <c r="F6" s="1" t="str">
        <f>HYPERLINK("http://www.ncbi.nlm.nih.gov/pubmed/?term=Pik3cg","Pik3cg")</f>
        <v>Pik3cg</v>
      </c>
    </row>
    <row r="7" spans="1:6" x14ac:dyDescent="0.25">
      <c r="A7" t="s">
        <v>1335</v>
      </c>
      <c r="B7" t="s">
        <v>1328</v>
      </c>
      <c r="C7" s="20">
        <v>0.53520000000000001</v>
      </c>
      <c r="D7" s="25">
        <v>5.8090000000000002</v>
      </c>
      <c r="E7" s="32">
        <v>2.5489999999999999</v>
      </c>
      <c r="F7" s="1" t="str">
        <f>HYPERLINK("http://www.ncbi.nlm.nih.gov/pubmed/?term=Pik3r5","Pik3r5")</f>
        <v>Pik3r5</v>
      </c>
    </row>
    <row r="8" spans="1:6" x14ac:dyDescent="0.25">
      <c r="A8" t="s">
        <v>2109</v>
      </c>
      <c r="B8" t="s">
        <v>422</v>
      </c>
      <c r="C8" s="12">
        <v>1.55</v>
      </c>
      <c r="D8" s="48">
        <v>3.9460000000000002</v>
      </c>
      <c r="E8" s="32">
        <v>3.4809999999999999</v>
      </c>
      <c r="F8" s="1" t="str">
        <f>HYPERLINK("http://www.ncbi.nlm.nih.gov/pubmed/?term=Mylpf","Mylpf")</f>
        <v>Mylpf</v>
      </c>
    </row>
    <row r="9" spans="1:6" x14ac:dyDescent="0.25">
      <c r="A9" t="s">
        <v>1012</v>
      </c>
      <c r="B9" t="s">
        <v>608</v>
      </c>
      <c r="C9" s="20">
        <v>0.79710000000000003</v>
      </c>
      <c r="D9" s="48">
        <v>3.81</v>
      </c>
      <c r="E9" s="12">
        <v>2.1230000000000002</v>
      </c>
      <c r="F9" s="1" t="str">
        <f>HYPERLINK("http://www.ncbi.nlm.nih.gov/pubmed/?term=Pak1","Pak1")</f>
        <v>Pak1</v>
      </c>
    </row>
    <row r="10" spans="1:6" x14ac:dyDescent="0.25">
      <c r="A10" t="s">
        <v>1307</v>
      </c>
      <c r="B10" t="s">
        <v>480</v>
      </c>
      <c r="C10" s="26">
        <v>-1.75</v>
      </c>
      <c r="D10" s="48">
        <v>4.1079999999999997</v>
      </c>
      <c r="E10" s="12">
        <v>1.897</v>
      </c>
      <c r="F10" s="1" t="str">
        <f>HYPERLINK("http://www.ncbi.nlm.nih.gov/pubmed/?term=Col6a4","Col6a4")</f>
        <v>Col6a4</v>
      </c>
    </row>
    <row r="11" spans="1:6" x14ac:dyDescent="0.25">
      <c r="A11" t="s">
        <v>1828</v>
      </c>
      <c r="B11" t="s">
        <v>1532</v>
      </c>
      <c r="C11" s="12">
        <v>1.986</v>
      </c>
      <c r="D11" s="25">
        <v>5.7009999999999996</v>
      </c>
      <c r="E11" s="32">
        <v>2.6230000000000002</v>
      </c>
      <c r="F11" s="1" t="str">
        <f>HYPERLINK("http://www.ncbi.nlm.nih.gov/pubmed/?term=Vav1","Vav1")</f>
        <v>Vav1</v>
      </c>
    </row>
    <row r="12" spans="1:6" x14ac:dyDescent="0.25">
      <c r="A12" t="s">
        <v>934</v>
      </c>
      <c r="B12" t="s">
        <v>214</v>
      </c>
      <c r="C12" s="22">
        <v>5.1150000000000002</v>
      </c>
      <c r="D12" s="25">
        <v>6.1420000000000003</v>
      </c>
      <c r="E12" s="25">
        <v>6.0039999999999996</v>
      </c>
      <c r="F12" s="1" t="str">
        <f>HYPERLINK("http://www.ncbi.nlm.nih.gov/pubmed/?term=Myl12b","Myl12b")</f>
        <v>Myl12b</v>
      </c>
    </row>
    <row r="13" spans="1:6" x14ac:dyDescent="0.25">
      <c r="A13" t="s">
        <v>853</v>
      </c>
      <c r="B13" t="s">
        <v>1990</v>
      </c>
      <c r="C13" s="26">
        <v>2.0140000000000002E-2</v>
      </c>
      <c r="D13" s="22">
        <v>5.3710000000000004</v>
      </c>
      <c r="E13" s="48">
        <v>4.4320000000000004</v>
      </c>
      <c r="F13" s="1" t="str">
        <f>HYPERLINK("http://www.ncbi.nlm.nih.gov/pubmed/?term=Ccnd1","Ccnd1")</f>
        <v>Ccnd1</v>
      </c>
    </row>
    <row r="14" spans="1:6" x14ac:dyDescent="0.25">
      <c r="A14" t="s">
        <v>1657</v>
      </c>
      <c r="B14" t="s">
        <v>1991</v>
      </c>
      <c r="C14" s="22">
        <v>5.4219999999999997</v>
      </c>
      <c r="D14" s="22">
        <v>5.4290000000000003</v>
      </c>
      <c r="E14" s="29">
        <v>6.6429999999999998</v>
      </c>
      <c r="F14" s="1" t="str">
        <f>HYPERLINK("http://www.ncbi.nlm.nih.gov/pubmed/?term=Ccnd2","Ccnd2")</f>
        <v>Ccnd2</v>
      </c>
    </row>
    <row r="15" spans="1:6" x14ac:dyDescent="0.25">
      <c r="A15" t="s">
        <v>658</v>
      </c>
      <c r="B15" t="s">
        <v>310</v>
      </c>
      <c r="C15" s="22">
        <v>4.585</v>
      </c>
      <c r="D15" s="22">
        <v>5.2720000000000002</v>
      </c>
      <c r="E15" s="25">
        <v>5.6970000000000001</v>
      </c>
      <c r="F15" s="1" t="str">
        <f>HYPERLINK("http://www.ncbi.nlm.nih.gov/pubmed/?term=Itga3","Itga3")</f>
        <v>Itga3</v>
      </c>
    </row>
    <row r="16" spans="1:6" x14ac:dyDescent="0.25">
      <c r="A16" t="s">
        <v>421</v>
      </c>
      <c r="B16" t="s">
        <v>1535</v>
      </c>
      <c r="C16" s="12">
        <v>2.2810000000000001</v>
      </c>
      <c r="D16" s="32">
        <v>2.8679999999999999</v>
      </c>
      <c r="E16" s="48">
        <v>4.0170000000000003</v>
      </c>
      <c r="F16" s="1" t="str">
        <f>HYPERLINK("http://www.ncbi.nlm.nih.gov/pubmed/?term=Vav2","Vav2")</f>
        <v>Vav2</v>
      </c>
    </row>
    <row r="17" spans="1:6" x14ac:dyDescent="0.25">
      <c r="A17" t="s">
        <v>1291</v>
      </c>
      <c r="B17" t="s">
        <v>681</v>
      </c>
      <c r="C17" s="26">
        <v>-1.431</v>
      </c>
      <c r="D17" s="32">
        <v>2.6589999999999998</v>
      </c>
      <c r="E17" s="22">
        <v>4.5880000000000001</v>
      </c>
      <c r="F17" s="1" t="str">
        <f>HYPERLINK("http://www.ncbi.nlm.nih.gov/pubmed/?term=Igf1","Igf1")</f>
        <v>Igf1</v>
      </c>
    </row>
    <row r="18" spans="1:6" x14ac:dyDescent="0.25">
      <c r="A18" t="s">
        <v>916</v>
      </c>
      <c r="B18" t="s">
        <v>1436</v>
      </c>
      <c r="C18" s="26">
        <v>-2.0179999999999998</v>
      </c>
      <c r="D18" s="12">
        <v>2.0539999999999998</v>
      </c>
      <c r="E18" s="32">
        <v>3.391</v>
      </c>
      <c r="F18" s="1" t="str">
        <f>HYPERLINK("http://www.ncbi.nlm.nih.gov/pubmed/?term=Myl7","Myl7")</f>
        <v>Myl7</v>
      </c>
    </row>
    <row r="19" spans="1:6" x14ac:dyDescent="0.25">
      <c r="A19" t="s">
        <v>1402</v>
      </c>
      <c r="B19" t="s">
        <v>1294</v>
      </c>
      <c r="C19" s="26">
        <v>-2.9169999999999998</v>
      </c>
      <c r="D19" s="32">
        <v>3.1139999999999999</v>
      </c>
      <c r="E19" s="48">
        <v>3.8559999999999999</v>
      </c>
      <c r="F19" s="1" t="str">
        <f>HYPERLINK("http://www.ncbi.nlm.nih.gov/pubmed/?term=Itgb8","Itgb8")</f>
        <v>Itgb8</v>
      </c>
    </row>
    <row r="20" spans="1:6" x14ac:dyDescent="0.25">
      <c r="A20" t="s">
        <v>2023</v>
      </c>
      <c r="B20" t="s">
        <v>897</v>
      </c>
      <c r="C20" s="48">
        <v>4.37</v>
      </c>
      <c r="D20" s="22">
        <v>5.0970000000000004</v>
      </c>
      <c r="E20" s="22">
        <v>5.4119999999999999</v>
      </c>
      <c r="F20" s="1" t="str">
        <f>HYPERLINK("http://www.ncbi.nlm.nih.gov/pubmed/?term=Hras1","Hras1")</f>
        <v>Hras1</v>
      </c>
    </row>
    <row r="21" spans="1:6" x14ac:dyDescent="0.25">
      <c r="A21" t="s">
        <v>1958</v>
      </c>
      <c r="B21" t="s">
        <v>1965</v>
      </c>
      <c r="C21" s="22">
        <v>4.9290000000000003</v>
      </c>
      <c r="D21" s="22">
        <v>5.2320000000000002</v>
      </c>
      <c r="E21" s="25">
        <v>6.2359999999999998</v>
      </c>
      <c r="F21" s="1" t="str">
        <f>HYPERLINK("http://www.ncbi.nlm.nih.gov/pubmed/?term=Src","Src")</f>
        <v>Src</v>
      </c>
    </row>
    <row r="22" spans="1:6" x14ac:dyDescent="0.25">
      <c r="A22" t="s">
        <v>2195</v>
      </c>
      <c r="B22" t="s">
        <v>1912</v>
      </c>
      <c r="C22" s="43">
        <v>9.7509999999999994</v>
      </c>
      <c r="D22" s="43">
        <v>10.18</v>
      </c>
      <c r="E22" s="43">
        <v>11.23</v>
      </c>
      <c r="F22" s="1" t="str">
        <f>HYPERLINK("http://www.ncbi.nlm.nih.gov/pubmed/?term=Actb","Actb")</f>
        <v>Actb</v>
      </c>
    </row>
    <row r="23" spans="1:6" x14ac:dyDescent="0.25">
      <c r="A23" t="s">
        <v>2042</v>
      </c>
      <c r="B23" t="s">
        <v>1233</v>
      </c>
      <c r="C23" s="25">
        <v>5.5170000000000003</v>
      </c>
      <c r="D23" s="25">
        <v>5.56</v>
      </c>
      <c r="E23" s="29">
        <v>7.3120000000000003</v>
      </c>
      <c r="F23" s="1" t="str">
        <f>HYPERLINK("http://www.ncbi.nlm.nih.gov/pubmed/?term=Birc3","Birc3")</f>
        <v>Birc3</v>
      </c>
    </row>
    <row r="24" spans="1:6" x14ac:dyDescent="0.25">
      <c r="A24" t="s">
        <v>333</v>
      </c>
      <c r="B24" t="s">
        <v>1460</v>
      </c>
      <c r="C24" s="26">
        <v>0.44829999999999998</v>
      </c>
      <c r="D24" s="12">
        <v>2.1360000000000001</v>
      </c>
      <c r="E24" s="48">
        <v>3.8809999999999998</v>
      </c>
      <c r="F24" s="1" t="str">
        <f>HYPERLINK("http://www.ncbi.nlm.nih.gov/pubmed/?term=Pik3cb","Pik3cb")</f>
        <v>Pik3cb</v>
      </c>
    </row>
    <row r="25" spans="1:6" x14ac:dyDescent="0.25">
      <c r="A25" t="s">
        <v>674</v>
      </c>
      <c r="B25" t="s">
        <v>1949</v>
      </c>
      <c r="C25" s="32">
        <v>2.6110000000000002</v>
      </c>
      <c r="D25" s="48">
        <v>4.2789999999999999</v>
      </c>
      <c r="E25" s="29">
        <v>6.8239999999999998</v>
      </c>
      <c r="F25" s="1" t="str">
        <f>HYPERLINK("http://www.ncbi.nlm.nih.gov/pubmed/?term=Rac2","Rac2")</f>
        <v>Rac2</v>
      </c>
    </row>
    <row r="26" spans="1:6" x14ac:dyDescent="0.25">
      <c r="A26" t="s">
        <v>91</v>
      </c>
      <c r="B26" t="s">
        <v>1403</v>
      </c>
      <c r="C26" s="12">
        <v>1.8640000000000001</v>
      </c>
      <c r="D26" s="48">
        <v>3.6930000000000001</v>
      </c>
      <c r="E26" s="22">
        <v>4.968</v>
      </c>
      <c r="F26" s="1" t="str">
        <f>HYPERLINK("http://www.ncbi.nlm.nih.gov/pubmed/?term=Erbb2","Erbb2")</f>
        <v>Erbb2</v>
      </c>
    </row>
    <row r="27" spans="1:6" x14ac:dyDescent="0.25">
      <c r="A27" t="s">
        <v>2080</v>
      </c>
      <c r="B27" t="s">
        <v>822</v>
      </c>
      <c r="C27" s="22">
        <v>5.1269999999999998</v>
      </c>
      <c r="D27" s="29">
        <v>7.452</v>
      </c>
      <c r="E27" s="32">
        <v>3.427</v>
      </c>
      <c r="F27" s="1" t="str">
        <f>HYPERLINK("http://www.ncbi.nlm.nih.gov/pubmed/?term=Col6a1","Col6a1")</f>
        <v>Col6a1</v>
      </c>
    </row>
    <row r="28" spans="1:6" x14ac:dyDescent="0.25">
      <c r="A28" t="s">
        <v>1674</v>
      </c>
      <c r="B28" t="s">
        <v>52</v>
      </c>
      <c r="C28" s="32">
        <v>3.4660000000000002</v>
      </c>
      <c r="D28" s="48">
        <v>3.9079999999999999</v>
      </c>
      <c r="E28" s="12">
        <v>2.2549999999999999</v>
      </c>
      <c r="F28" s="1" t="str">
        <f>HYPERLINK("http://www.ncbi.nlm.nih.gov/pubmed/?term=Lama5","Lama5")</f>
        <v>Lama5</v>
      </c>
    </row>
    <row r="29" spans="1:6" x14ac:dyDescent="0.25">
      <c r="A29" t="s">
        <v>504</v>
      </c>
      <c r="B29" t="s">
        <v>824</v>
      </c>
      <c r="C29" s="32">
        <v>3.298</v>
      </c>
      <c r="D29" s="29">
        <v>6.7389999999999999</v>
      </c>
      <c r="E29" s="12">
        <v>2.431</v>
      </c>
      <c r="F29" s="1" t="str">
        <f>HYPERLINK("http://www.ncbi.nlm.nih.gov/pubmed/?term=Col6a2","Col6a2")</f>
        <v>Col6a2</v>
      </c>
    </row>
    <row r="30" spans="1:6" x14ac:dyDescent="0.25">
      <c r="A30" t="s">
        <v>943</v>
      </c>
      <c r="B30" t="s">
        <v>2045</v>
      </c>
      <c r="C30" s="26">
        <v>-1.02</v>
      </c>
      <c r="D30" s="32">
        <v>3.4670000000000001</v>
      </c>
      <c r="E30" s="26">
        <v>-1.538</v>
      </c>
      <c r="F30" s="1" t="str">
        <f>HYPERLINK("http://www.ncbi.nlm.nih.gov/pubmed/?term=Thbs4","Thbs4")</f>
        <v>Thbs4</v>
      </c>
    </row>
    <row r="31" spans="1:6" x14ac:dyDescent="0.25">
      <c r="A31" t="s">
        <v>1471</v>
      </c>
      <c r="B31" t="s">
        <v>801</v>
      </c>
      <c r="C31" s="22">
        <v>4.6050000000000004</v>
      </c>
      <c r="D31" s="25">
        <v>5.6079999999999997</v>
      </c>
      <c r="E31" s="48">
        <v>4.2160000000000002</v>
      </c>
      <c r="F31" s="1" t="str">
        <f>HYPERLINK("http://www.ncbi.nlm.nih.gov/pubmed/?term=Vcl","Vcl")</f>
        <v>Vcl</v>
      </c>
    </row>
    <row r="32" spans="1:6" x14ac:dyDescent="0.25">
      <c r="A32" t="s">
        <v>1334</v>
      </c>
      <c r="B32" t="s">
        <v>5</v>
      </c>
      <c r="C32" s="32">
        <v>3.4769999999999999</v>
      </c>
      <c r="D32" s="48">
        <v>3.6840000000000002</v>
      </c>
      <c r="E32" s="32">
        <v>2.5219999999999998</v>
      </c>
      <c r="F32" s="1" t="str">
        <f>HYPERLINK("http://www.ncbi.nlm.nih.gov/pubmed/?term=Sos1","Sos1")</f>
        <v>Sos1</v>
      </c>
    </row>
    <row r="33" spans="1:6" x14ac:dyDescent="0.25">
      <c r="A33" t="s">
        <v>335</v>
      </c>
      <c r="B33" t="s">
        <v>50</v>
      </c>
      <c r="C33" s="22">
        <v>5.3849999999999998</v>
      </c>
      <c r="D33" s="25">
        <v>5.9589999999999996</v>
      </c>
      <c r="E33" s="48">
        <v>4.1619999999999999</v>
      </c>
      <c r="F33" s="1" t="str">
        <f>HYPERLINK("http://www.ncbi.nlm.nih.gov/pubmed/?term=Lama3","Lama3")</f>
        <v>Lama3</v>
      </c>
    </row>
    <row r="34" spans="1:6" x14ac:dyDescent="0.25">
      <c r="A34" t="s">
        <v>1210</v>
      </c>
      <c r="B34" t="s">
        <v>1944</v>
      </c>
      <c r="C34" s="22">
        <v>4.9720000000000004</v>
      </c>
      <c r="D34" s="25">
        <v>6.375</v>
      </c>
      <c r="E34" s="22">
        <v>4.8499999999999996</v>
      </c>
      <c r="F34" s="1" t="str">
        <f>HYPERLINK("http://www.ncbi.nlm.nih.gov/pubmed/?term=Lamc2","Lamc2")</f>
        <v>Lamc2</v>
      </c>
    </row>
    <row r="35" spans="1:6" x14ac:dyDescent="0.25">
      <c r="A35" t="s">
        <v>880</v>
      </c>
      <c r="B35" t="s">
        <v>1788</v>
      </c>
      <c r="C35" s="25">
        <v>5.6509999999999998</v>
      </c>
      <c r="D35" s="25">
        <v>5.7839999999999998</v>
      </c>
      <c r="E35" s="32">
        <v>2.7770000000000001</v>
      </c>
      <c r="F35" s="1" t="str">
        <f>HYPERLINK("http://www.ncbi.nlm.nih.gov/pubmed/?term=Lamb3","Lamb3")</f>
        <v>Lamb3</v>
      </c>
    </row>
    <row r="36" spans="1:6" x14ac:dyDescent="0.25">
      <c r="A36" t="s">
        <v>251</v>
      </c>
      <c r="B36" t="s">
        <v>150</v>
      </c>
      <c r="C36" s="24">
        <v>8.1829999999999998</v>
      </c>
      <c r="D36" s="24">
        <v>8.3659999999999997</v>
      </c>
      <c r="E36" s="25">
        <v>6.13</v>
      </c>
      <c r="F36" s="1" t="str">
        <f>HYPERLINK("http://www.ncbi.nlm.nih.gov/pubmed/?term=Flna","Flna")</f>
        <v>Flna</v>
      </c>
    </row>
    <row r="37" spans="1:6" x14ac:dyDescent="0.25">
      <c r="A37" t="s">
        <v>1806</v>
      </c>
      <c r="B37" t="s">
        <v>485</v>
      </c>
      <c r="C37" s="29">
        <v>6.548</v>
      </c>
      <c r="D37" s="29">
        <v>7.0190000000000001</v>
      </c>
      <c r="E37" s="22">
        <v>5.0270000000000001</v>
      </c>
      <c r="F37" s="1" t="str">
        <f>HYPERLINK("http://www.ncbi.nlm.nih.gov/pubmed/?term=Col4a1","Col4a1")</f>
        <v>Col4a1</v>
      </c>
    </row>
    <row r="38" spans="1:6" x14ac:dyDescent="0.25">
      <c r="A38" t="s">
        <v>534</v>
      </c>
      <c r="B38" t="s">
        <v>1534</v>
      </c>
      <c r="C38" s="48">
        <v>3.738</v>
      </c>
      <c r="D38" s="22">
        <v>4.6950000000000003</v>
      </c>
      <c r="E38" s="32">
        <v>3.3279999999999998</v>
      </c>
      <c r="F38" s="1" t="str">
        <f>HYPERLINK("http://www.ncbi.nlm.nih.gov/pubmed/?term=Vav3","Vav3")</f>
        <v>Vav3</v>
      </c>
    </row>
    <row r="39" spans="1:6" x14ac:dyDescent="0.25">
      <c r="A39" t="s">
        <v>1884</v>
      </c>
      <c r="B39" t="s">
        <v>2000</v>
      </c>
      <c r="C39" s="46">
        <v>8.7729999999999997</v>
      </c>
      <c r="D39" s="46">
        <v>9.0190000000000001</v>
      </c>
      <c r="E39" s="29">
        <v>7.4089999999999998</v>
      </c>
      <c r="F39" s="1" t="str">
        <f>HYPERLINK("http://www.ncbi.nlm.nih.gov/pubmed/?term=Jun","Jun")</f>
        <v>Jun</v>
      </c>
    </row>
    <row r="40" spans="1:6" x14ac:dyDescent="0.25">
      <c r="A40" t="s">
        <v>1899</v>
      </c>
      <c r="B40" t="s">
        <v>1438</v>
      </c>
      <c r="C40" s="48">
        <v>3.7309999999999999</v>
      </c>
      <c r="D40" s="25">
        <v>5.7539999999999996</v>
      </c>
      <c r="E40" s="20">
        <v>0.61119999999999997</v>
      </c>
      <c r="F40" s="1" t="str">
        <f>HYPERLINK("http://www.ncbi.nlm.nih.gov/pubmed/?term=Myl9","Myl9")</f>
        <v>Myl9</v>
      </c>
    </row>
    <row r="41" spans="1:6" x14ac:dyDescent="0.25">
      <c r="A41" t="s">
        <v>1351</v>
      </c>
      <c r="B41" t="s">
        <v>654</v>
      </c>
      <c r="C41" s="32">
        <v>3.36</v>
      </c>
      <c r="D41" s="48">
        <v>3.6749999999999998</v>
      </c>
      <c r="E41" s="12">
        <v>2.1040000000000001</v>
      </c>
      <c r="F41" s="1" t="str">
        <f>HYPERLINK("http://www.ncbi.nlm.nih.gov/pubmed/?term=Ppp1r12b","Ppp1r12b")</f>
        <v>Ppp1r12b</v>
      </c>
    </row>
    <row r="42" spans="1:6" x14ac:dyDescent="0.25">
      <c r="A42" t="s">
        <v>846</v>
      </c>
      <c r="B42" t="s">
        <v>2071</v>
      </c>
      <c r="C42" s="48">
        <v>3.79</v>
      </c>
      <c r="D42" s="26">
        <v>0.25290000000000001</v>
      </c>
      <c r="E42" s="26">
        <v>-1.006</v>
      </c>
      <c r="F42" s="1" t="str">
        <f>HYPERLINK("http://www.ncbi.nlm.nih.gov/pubmed/?term=Itgb7","Itgb7")</f>
        <v>Itgb7</v>
      </c>
    </row>
    <row r="43" spans="1:6" x14ac:dyDescent="0.25">
      <c r="A43" t="s">
        <v>1619</v>
      </c>
      <c r="B43" t="s">
        <v>1787</v>
      </c>
      <c r="C43" s="25">
        <v>6.2549999999999999</v>
      </c>
      <c r="D43" s="25">
        <v>5.7009999999999996</v>
      </c>
      <c r="E43" s="32">
        <v>3.476</v>
      </c>
      <c r="F43" s="1" t="str">
        <f>HYPERLINK("http://www.ncbi.nlm.nih.gov/pubmed/?term=Lamb1","Lamb1")</f>
        <v>Lamb1</v>
      </c>
    </row>
    <row r="44" spans="1:6" x14ac:dyDescent="0.25">
      <c r="A44" t="s">
        <v>368</v>
      </c>
      <c r="B44" t="s">
        <v>938</v>
      </c>
      <c r="C44" s="22">
        <v>4.8079999999999998</v>
      </c>
      <c r="D44" s="48">
        <v>3.8130000000000002</v>
      </c>
      <c r="E44" s="48">
        <v>3.5379999999999998</v>
      </c>
      <c r="F44" s="1" t="str">
        <f>HYPERLINK("http://www.ncbi.nlm.nih.gov/pubmed/?term=Igf1r","Igf1r")</f>
        <v>Igf1r</v>
      </c>
    </row>
    <row r="45" spans="1:6" x14ac:dyDescent="0.25">
      <c r="A45" t="s">
        <v>1733</v>
      </c>
      <c r="B45" t="s">
        <v>1829</v>
      </c>
      <c r="C45" s="48">
        <v>3.9809999999999999</v>
      </c>
      <c r="D45" s="32">
        <v>3.1789999999999998</v>
      </c>
      <c r="E45" s="32">
        <v>2.843</v>
      </c>
      <c r="F45" s="1" t="str">
        <f>HYPERLINK("http://www.ncbi.nlm.nih.gov/pubmed/?term=Crkl","Crkl")</f>
        <v>Crkl</v>
      </c>
    </row>
    <row r="46" spans="1:6" x14ac:dyDescent="0.25">
      <c r="A46" t="s">
        <v>641</v>
      </c>
      <c r="B46" t="s">
        <v>346</v>
      </c>
      <c r="C46" s="25">
        <v>5.5090000000000003</v>
      </c>
      <c r="D46" s="22">
        <v>4.79</v>
      </c>
      <c r="E46" s="48">
        <v>4.3810000000000002</v>
      </c>
      <c r="F46" s="1" t="str">
        <f>HYPERLINK("http://www.ncbi.nlm.nih.gov/pubmed/?term=Crk","Crk")</f>
        <v>Crk</v>
      </c>
    </row>
    <row r="47" spans="1:6" x14ac:dyDescent="0.25">
      <c r="A47" t="s">
        <v>961</v>
      </c>
      <c r="B47" t="s">
        <v>51</v>
      </c>
      <c r="C47" s="48">
        <v>4.2140000000000004</v>
      </c>
      <c r="D47" s="48">
        <v>3.5419999999999998</v>
      </c>
      <c r="E47" s="12">
        <v>2.4350000000000001</v>
      </c>
      <c r="F47" s="1" t="str">
        <f>HYPERLINK("http://www.ncbi.nlm.nih.gov/pubmed/?term=Lama4","Lama4")</f>
        <v>Lama4</v>
      </c>
    </row>
    <row r="48" spans="1:6" x14ac:dyDescent="0.25">
      <c r="A48" t="s">
        <v>1444</v>
      </c>
      <c r="B48" t="s">
        <v>1417</v>
      </c>
      <c r="C48" s="22">
        <v>4.7190000000000003</v>
      </c>
      <c r="D48" s="48">
        <v>4.1989999999999998</v>
      </c>
      <c r="E48" s="32">
        <v>2.794</v>
      </c>
      <c r="F48" s="1" t="str">
        <f>HYPERLINK("http://www.ncbi.nlm.nih.gov/pubmed/?term=Egfr","Egfr")</f>
        <v>Egfr</v>
      </c>
    </row>
    <row r="49" spans="1:6" x14ac:dyDescent="0.25">
      <c r="A49" t="s">
        <v>31</v>
      </c>
      <c r="B49" t="s">
        <v>400</v>
      </c>
      <c r="C49" s="48">
        <v>4.476</v>
      </c>
      <c r="D49" s="48">
        <v>3.5920000000000001</v>
      </c>
      <c r="E49" s="32">
        <v>3.4319999999999999</v>
      </c>
      <c r="F49" s="1" t="str">
        <f>HYPERLINK("http://www.ncbi.nlm.nih.gov/pubmed/?term=Mapk9","Mapk9")</f>
        <v>Mapk9</v>
      </c>
    </row>
    <row r="50" spans="1:6" x14ac:dyDescent="0.25">
      <c r="A50" t="s">
        <v>1410</v>
      </c>
      <c r="B50" t="s">
        <v>470</v>
      </c>
      <c r="C50" s="48">
        <v>3.907</v>
      </c>
      <c r="D50" s="32">
        <v>3.4430000000000001</v>
      </c>
      <c r="E50" s="32">
        <v>2.746</v>
      </c>
      <c r="F50" s="1" t="str">
        <f>HYPERLINK("http://www.ncbi.nlm.nih.gov/pubmed/?term=Rock2","Rock2")</f>
        <v>Rock2</v>
      </c>
    </row>
    <row r="51" spans="1:6" x14ac:dyDescent="0.25">
      <c r="A51" t="s">
        <v>834</v>
      </c>
      <c r="B51" t="s">
        <v>1552</v>
      </c>
      <c r="C51" s="22">
        <v>4.516</v>
      </c>
      <c r="D51" s="48">
        <v>3.7549999999999999</v>
      </c>
      <c r="E51" s="32">
        <v>3.4649999999999999</v>
      </c>
      <c r="F51" s="1" t="str">
        <f>HYPERLINK("http://www.ncbi.nlm.nih.gov/pubmed/?term=Mapk8","Mapk8")</f>
        <v>Mapk8</v>
      </c>
    </row>
    <row r="52" spans="1:6" x14ac:dyDescent="0.25">
      <c r="A52" t="s">
        <v>1717</v>
      </c>
      <c r="B52" t="s">
        <v>2161</v>
      </c>
      <c r="C52" s="48">
        <v>4.2480000000000002</v>
      </c>
      <c r="D52" s="20">
        <v>0.87590000000000001</v>
      </c>
      <c r="E52" s="26">
        <v>0.32079999999999997</v>
      </c>
      <c r="F52" s="1" t="str">
        <f>HYPERLINK("http://www.ncbi.nlm.nih.gov/pubmed/?term=Parvb","Parvb")</f>
        <v>Parvb</v>
      </c>
    </row>
    <row r="53" spans="1:6" x14ac:dyDescent="0.25">
      <c r="A53" t="s">
        <v>11</v>
      </c>
      <c r="B53" t="s">
        <v>1796</v>
      </c>
      <c r="C53" s="22">
        <v>4.6790000000000003</v>
      </c>
      <c r="D53" s="32">
        <v>2.919</v>
      </c>
      <c r="E53" s="32">
        <v>2.6720000000000002</v>
      </c>
      <c r="F53" s="1" t="str">
        <f>HYPERLINK("http://www.ncbi.nlm.nih.gov/pubmed/?term=Thbs2","Thbs2")</f>
        <v>Thbs2</v>
      </c>
    </row>
    <row r="54" spans="1:6" x14ac:dyDescent="0.25">
      <c r="A54" t="s">
        <v>2197</v>
      </c>
      <c r="B54" t="s">
        <v>1027</v>
      </c>
      <c r="C54" s="22">
        <v>5.4749999999999996</v>
      </c>
      <c r="D54" s="22">
        <v>5.3170000000000002</v>
      </c>
      <c r="E54" s="48">
        <v>3.907</v>
      </c>
      <c r="F54" s="1" t="str">
        <f>HYPERLINK("http://www.ncbi.nlm.nih.gov/pubmed/?term=Vegfa","Vegfa")</f>
        <v>Vegfa</v>
      </c>
    </row>
    <row r="55" spans="1:6" x14ac:dyDescent="0.25">
      <c r="A55" t="s">
        <v>1211</v>
      </c>
      <c r="B55" t="s">
        <v>1946</v>
      </c>
      <c r="C55" s="25">
        <v>5.6539999999999999</v>
      </c>
      <c r="D55" s="48">
        <v>3.6970000000000001</v>
      </c>
      <c r="E55" s="12">
        <v>2.4590000000000001</v>
      </c>
      <c r="F55" s="1" t="str">
        <f>HYPERLINK("http://www.ncbi.nlm.nih.gov/pubmed/?term=Lamc1","Lamc1")</f>
        <v>Lamc1</v>
      </c>
    </row>
    <row r="56" spans="1:6" x14ac:dyDescent="0.25">
      <c r="A56" t="s">
        <v>1067</v>
      </c>
      <c r="B56" t="s">
        <v>1010</v>
      </c>
      <c r="C56" s="22">
        <v>5.4569999999999999</v>
      </c>
      <c r="D56" s="22">
        <v>5.4379999999999997</v>
      </c>
      <c r="E56" s="32">
        <v>3.274</v>
      </c>
      <c r="F56" s="1" t="str">
        <f>HYPERLINK("http://www.ncbi.nlm.nih.gov/pubmed/?term=Zyx","Zyx")</f>
        <v>Zyx</v>
      </c>
    </row>
    <row r="57" spans="1:6" x14ac:dyDescent="0.25">
      <c r="A57" t="s">
        <v>1011</v>
      </c>
      <c r="B57" t="s">
        <v>1469</v>
      </c>
      <c r="C57" s="22">
        <v>5.4859999999999998</v>
      </c>
      <c r="D57" s="22">
        <v>5.0549999999999997</v>
      </c>
      <c r="E57" s="22">
        <v>4.5739999999999998</v>
      </c>
      <c r="F57" s="1" t="str">
        <f>HYPERLINK("http://www.ncbi.nlm.nih.gov/pubmed/?term=Parva","Parva")</f>
        <v>Parva</v>
      </c>
    </row>
    <row r="58" spans="1:6" x14ac:dyDescent="0.25">
      <c r="A58" t="s">
        <v>1544</v>
      </c>
      <c r="B58" t="s">
        <v>774</v>
      </c>
      <c r="C58" s="48">
        <v>3.528</v>
      </c>
      <c r="D58" s="20">
        <v>0.76790000000000003</v>
      </c>
      <c r="E58" s="26">
        <v>-0.55920000000000003</v>
      </c>
      <c r="F58" s="1" t="str">
        <f>HYPERLINK("http://www.ncbi.nlm.nih.gov/pubmed/?term=Col4a5","Col4a5")</f>
        <v>Col4a5</v>
      </c>
    </row>
    <row r="59" spans="1:6" x14ac:dyDescent="0.25">
      <c r="A59" t="s">
        <v>1805</v>
      </c>
      <c r="B59" t="s">
        <v>781</v>
      </c>
      <c r="C59" s="29">
        <v>6.66</v>
      </c>
      <c r="D59" s="25">
        <v>6.1059999999999999</v>
      </c>
      <c r="E59" s="48">
        <v>4.1219999999999999</v>
      </c>
      <c r="F59" s="1" t="str">
        <f>HYPERLINK("http://www.ncbi.nlm.nih.gov/pubmed/?term=Col4a2","Col4a2")</f>
        <v>Col4a2</v>
      </c>
    </row>
    <row r="60" spans="1:6" x14ac:dyDescent="0.25">
      <c r="A60" t="s">
        <v>1205</v>
      </c>
      <c r="B60" t="s">
        <v>1329</v>
      </c>
      <c r="C60" s="25">
        <v>5.6820000000000004</v>
      </c>
      <c r="D60" s="22">
        <v>5.0220000000000002</v>
      </c>
      <c r="E60" s="22">
        <v>4.7060000000000004</v>
      </c>
      <c r="F60" s="1" t="str">
        <f>HYPERLINK("http://www.ncbi.nlm.nih.gov/pubmed/?term=Pik3r2","Pik3r2")</f>
        <v>Pik3r2</v>
      </c>
    </row>
    <row r="61" spans="1:6" x14ac:dyDescent="0.25">
      <c r="A61" t="s">
        <v>1022</v>
      </c>
      <c r="B61" t="s">
        <v>2202</v>
      </c>
      <c r="C61" s="48">
        <v>3.524</v>
      </c>
      <c r="D61" s="48">
        <v>3.5110000000000001</v>
      </c>
      <c r="E61" s="12">
        <v>2.1949999999999998</v>
      </c>
      <c r="F61" s="1" t="str">
        <f>HYPERLINK("http://www.ncbi.nlm.nih.gov/pubmed/?term=Bcar1","Bcar1")</f>
        <v>Bcar1</v>
      </c>
    </row>
    <row r="62" spans="1:6" x14ac:dyDescent="0.25">
      <c r="A62" t="s">
        <v>731</v>
      </c>
      <c r="B62" t="s">
        <v>1330</v>
      </c>
      <c r="C62" s="22">
        <v>4.9180000000000001</v>
      </c>
      <c r="D62" s="22">
        <v>4.8079999999999998</v>
      </c>
      <c r="E62" s="48">
        <v>3.7410000000000001</v>
      </c>
      <c r="F62" s="1" t="str">
        <f>HYPERLINK("http://www.ncbi.nlm.nih.gov/pubmed/?term=Pik3r1","Pik3r1")</f>
        <v>Pik3r1</v>
      </c>
    </row>
    <row r="63" spans="1:6" x14ac:dyDescent="0.25">
      <c r="A63" t="s">
        <v>2024</v>
      </c>
      <c r="B63" t="s">
        <v>15</v>
      </c>
      <c r="C63" s="48">
        <v>3.827</v>
      </c>
      <c r="D63" s="32">
        <v>2.8050000000000002</v>
      </c>
      <c r="E63" s="12">
        <v>2.2109999999999999</v>
      </c>
      <c r="F63" s="1" t="str">
        <f>HYPERLINK("http://www.ncbi.nlm.nih.gov/pubmed/?term=Bcl2","Bcl2")</f>
        <v>Bcl2</v>
      </c>
    </row>
    <row r="64" spans="1:6" x14ac:dyDescent="0.25">
      <c r="A64" t="s">
        <v>1918</v>
      </c>
      <c r="B64" t="s">
        <v>881</v>
      </c>
      <c r="C64" s="48">
        <v>4.2149999999999999</v>
      </c>
      <c r="D64" s="48">
        <v>3.6960000000000002</v>
      </c>
      <c r="E64" s="12">
        <v>2.4860000000000002</v>
      </c>
      <c r="F64" s="1" t="str">
        <f>HYPERLINK("http://www.ncbi.nlm.nih.gov/pubmed/?term=Grlf1","Grlf1")</f>
        <v>Grlf1</v>
      </c>
    </row>
    <row r="65" spans="1:6" x14ac:dyDescent="0.25">
      <c r="A65" t="s">
        <v>1641</v>
      </c>
      <c r="B65" t="s">
        <v>708</v>
      </c>
      <c r="C65" s="22">
        <v>4.92</v>
      </c>
      <c r="D65" s="32">
        <v>3.3980000000000001</v>
      </c>
      <c r="E65" s="32">
        <v>3.2280000000000002</v>
      </c>
      <c r="F65" s="1" t="str">
        <f>HYPERLINK("http://www.ncbi.nlm.nih.gov/pubmed/?term=Dock1","Dock1")</f>
        <v>Dock1</v>
      </c>
    </row>
    <row r="66" spans="1:6" x14ac:dyDescent="0.25">
      <c r="A66" t="s">
        <v>1819</v>
      </c>
      <c r="B66" t="s">
        <v>1948</v>
      </c>
      <c r="C66" s="25">
        <v>6.0519999999999996</v>
      </c>
      <c r="D66" s="25">
        <v>5.57</v>
      </c>
      <c r="E66" s="24">
        <v>7.7460000000000004</v>
      </c>
      <c r="F66" s="1" t="str">
        <f>HYPERLINK("http://www.ncbi.nlm.nih.gov/pubmed/?term=Actn3","Actn3")</f>
        <v>Actn3</v>
      </c>
    </row>
    <row r="67" spans="1:6" x14ac:dyDescent="0.25">
      <c r="A67" t="s">
        <v>807</v>
      </c>
      <c r="B67" t="s">
        <v>1950</v>
      </c>
      <c r="C67" s="22">
        <v>5.1239999999999997</v>
      </c>
      <c r="D67" s="32">
        <v>3.4119999999999999</v>
      </c>
      <c r="E67" s="22">
        <v>5.2290000000000001</v>
      </c>
      <c r="F67" s="1" t="str">
        <f>HYPERLINK("http://www.ncbi.nlm.nih.gov/pubmed/?term=Rac3","Rac3")</f>
        <v>Rac3</v>
      </c>
    </row>
    <row r="68" spans="1:6" x14ac:dyDescent="0.25">
      <c r="A68" t="s">
        <v>113</v>
      </c>
      <c r="B68" t="s">
        <v>151</v>
      </c>
      <c r="C68" s="29">
        <v>6.7359999999999998</v>
      </c>
      <c r="D68" s="25">
        <v>5.9690000000000003</v>
      </c>
      <c r="E68" s="29">
        <v>7.0010000000000003</v>
      </c>
      <c r="F68" s="1" t="str">
        <f>HYPERLINK("http://www.ncbi.nlm.nih.gov/pubmed/?term=Flnb","Flnb")</f>
        <v>Flnb</v>
      </c>
    </row>
    <row r="69" spans="1:6" x14ac:dyDescent="0.25">
      <c r="A69" t="s">
        <v>1137</v>
      </c>
      <c r="B69" t="s">
        <v>1662</v>
      </c>
      <c r="C69" s="48">
        <v>4.3550000000000004</v>
      </c>
      <c r="D69" s="48">
        <v>4.165</v>
      </c>
      <c r="E69" s="25">
        <v>6.383</v>
      </c>
      <c r="F69" s="1" t="str">
        <f>HYPERLINK("http://www.ncbi.nlm.nih.gov/pubmed/?term=Rapgef1","Rapgef1")</f>
        <v>Rapgef1</v>
      </c>
    </row>
    <row r="70" spans="1:6" x14ac:dyDescent="0.25">
      <c r="A70" t="s">
        <v>1880</v>
      </c>
      <c r="B70" t="s">
        <v>1077</v>
      </c>
      <c r="C70" s="48">
        <v>3.6549999999999998</v>
      </c>
      <c r="D70" s="32">
        <v>3.3140000000000001</v>
      </c>
      <c r="E70" s="25">
        <v>6.2270000000000003</v>
      </c>
      <c r="F70" s="1" t="str">
        <f>HYPERLINK("http://www.ncbi.nlm.nih.gov/pubmed/?term=Prkca","Prkca")</f>
        <v>Prkca</v>
      </c>
    </row>
    <row r="71" spans="1:6" x14ac:dyDescent="0.25">
      <c r="A71" t="s">
        <v>427</v>
      </c>
      <c r="B71" t="s">
        <v>1234</v>
      </c>
      <c r="C71" s="22">
        <v>5.4820000000000002</v>
      </c>
      <c r="D71" s="22">
        <v>5.2619999999999996</v>
      </c>
      <c r="E71" s="25">
        <v>6.2539999999999996</v>
      </c>
      <c r="F71" s="1" t="str">
        <f>HYPERLINK("http://www.ncbi.nlm.nih.gov/pubmed/?term=Birc2","Birc2")</f>
        <v>Birc2</v>
      </c>
    </row>
    <row r="72" spans="1:6" x14ac:dyDescent="0.25">
      <c r="A72" t="s">
        <v>159</v>
      </c>
      <c r="B72" t="s">
        <v>1644</v>
      </c>
      <c r="C72" s="29">
        <v>6.5579999999999998</v>
      </c>
      <c r="D72" s="22">
        <v>4.7640000000000002</v>
      </c>
      <c r="E72" s="22">
        <v>5.4039999999999999</v>
      </c>
      <c r="F72" s="1" t="str">
        <f>HYPERLINK("http://www.ncbi.nlm.nih.gov/pubmed/?term=Map2k1","Map2k1")</f>
        <v>Map2k1</v>
      </c>
    </row>
    <row r="73" spans="1:6" x14ac:dyDescent="0.25">
      <c r="A73" t="s">
        <v>839</v>
      </c>
      <c r="B73" t="s">
        <v>1858</v>
      </c>
      <c r="C73" s="22">
        <v>4.83</v>
      </c>
      <c r="D73" s="12">
        <v>1.522</v>
      </c>
      <c r="E73" s="12">
        <v>1.887</v>
      </c>
      <c r="F73" s="1" t="str">
        <f>HYPERLINK("http://www.ncbi.nlm.nih.gov/pubmed/?term=Mylk","Mylk")</f>
        <v>Mylk</v>
      </c>
    </row>
    <row r="74" spans="1:6" x14ac:dyDescent="0.25">
      <c r="A74" t="s">
        <v>1029</v>
      </c>
      <c r="B74" t="s">
        <v>1277</v>
      </c>
      <c r="C74" s="29">
        <v>6.9329999999999998</v>
      </c>
      <c r="D74" s="32">
        <v>3.0720000000000001</v>
      </c>
      <c r="E74" s="48">
        <v>4.2380000000000004</v>
      </c>
      <c r="F74" s="1" t="str">
        <f>HYPERLINK("http://www.ncbi.nlm.nih.gov/pubmed/?term=Fn1","Fn1")</f>
        <v>Fn1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1820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2016</v>
      </c>
      <c r="B5" t="s">
        <v>1464</v>
      </c>
      <c r="C5" s="26">
        <v>-0.25159999999999999</v>
      </c>
      <c r="D5" s="19">
        <v>4.952</v>
      </c>
      <c r="E5" s="8">
        <v>0.69540000000000002</v>
      </c>
      <c r="F5" s="1" t="str">
        <f>HYPERLINK("http://www.ncbi.nlm.nih.gov/pubmed/?term=Pik3cg","Pik3cg")</f>
        <v>Pik3cg</v>
      </c>
    </row>
    <row r="6" spans="1:6" x14ac:dyDescent="0.25">
      <c r="A6" t="s">
        <v>1335</v>
      </c>
      <c r="B6" t="s">
        <v>1328</v>
      </c>
      <c r="C6" s="8">
        <v>0.53520000000000001</v>
      </c>
      <c r="D6" s="3">
        <v>5.8090000000000002</v>
      </c>
      <c r="E6" s="41">
        <v>2.5489999999999999</v>
      </c>
      <c r="F6" s="1" t="str">
        <f>HYPERLINK("http://www.ncbi.nlm.nih.gov/pubmed/?term=Pik3r5","Pik3r5")</f>
        <v>Pik3r5</v>
      </c>
    </row>
    <row r="7" spans="1:6" x14ac:dyDescent="0.25">
      <c r="A7" t="s">
        <v>853</v>
      </c>
      <c r="B7" t="s">
        <v>1990</v>
      </c>
      <c r="C7" s="26">
        <v>2.0140000000000002E-2</v>
      </c>
      <c r="D7" s="19">
        <v>5.3710000000000004</v>
      </c>
      <c r="E7" s="15">
        <v>4.4320000000000004</v>
      </c>
      <c r="F7" s="1" t="str">
        <f>HYPERLINK("http://www.ncbi.nlm.nih.gov/pubmed/?term=Ccnd1","Ccnd1")</f>
        <v>Ccnd1</v>
      </c>
    </row>
    <row r="8" spans="1:6" x14ac:dyDescent="0.25">
      <c r="A8" t="s">
        <v>658</v>
      </c>
      <c r="B8" t="s">
        <v>310</v>
      </c>
      <c r="C8" s="19">
        <v>4.585</v>
      </c>
      <c r="D8" s="19">
        <v>5.2720000000000002</v>
      </c>
      <c r="E8" s="3">
        <v>5.6970000000000001</v>
      </c>
      <c r="F8" s="1" t="str">
        <f>HYPERLINK("http://www.ncbi.nlm.nih.gov/pubmed/?term=Itga3","Itga3")</f>
        <v>Itga3</v>
      </c>
    </row>
    <row r="9" spans="1:6" x14ac:dyDescent="0.25">
      <c r="A9" t="s">
        <v>1237</v>
      </c>
      <c r="B9" t="s">
        <v>1139</v>
      </c>
      <c r="C9" s="15">
        <v>4.141</v>
      </c>
      <c r="D9" s="15">
        <v>4.1669999999999998</v>
      </c>
      <c r="E9" s="9">
        <v>6.782</v>
      </c>
      <c r="F9" s="1" t="str">
        <f>HYPERLINK("http://www.ncbi.nlm.nih.gov/pubmed/?term=Bcl2l1","Bcl2l1")</f>
        <v>Bcl2l1</v>
      </c>
    </row>
    <row r="10" spans="1:6" x14ac:dyDescent="0.25">
      <c r="A10" t="s">
        <v>1173</v>
      </c>
      <c r="B10" t="s">
        <v>1060</v>
      </c>
      <c r="C10" s="26">
        <v>-1.2470000000000001</v>
      </c>
      <c r="D10" s="37">
        <v>2.052</v>
      </c>
      <c r="E10" s="9">
        <v>7.4489999999999998</v>
      </c>
      <c r="F10" s="1" t="str">
        <f>HYPERLINK("http://www.ncbi.nlm.nih.gov/pubmed/?term=Nos2","Nos2")</f>
        <v>Nos2</v>
      </c>
    </row>
    <row r="11" spans="1:6" x14ac:dyDescent="0.25">
      <c r="A11" t="s">
        <v>1226</v>
      </c>
      <c r="B11" t="s">
        <v>1317</v>
      </c>
      <c r="C11" s="26">
        <v>-0.19309999999999999</v>
      </c>
      <c r="D11" s="15">
        <v>3.6419999999999999</v>
      </c>
      <c r="E11" s="3">
        <v>5.7389999999999999</v>
      </c>
      <c r="F11" s="1" t="str">
        <f>HYPERLINK("http://www.ncbi.nlm.nih.gov/pubmed/?term=Traf1","Traf1")</f>
        <v>Traf1</v>
      </c>
    </row>
    <row r="12" spans="1:6" x14ac:dyDescent="0.25">
      <c r="A12" t="s">
        <v>577</v>
      </c>
      <c r="B12" t="s">
        <v>1318</v>
      </c>
      <c r="C12" s="15">
        <v>4.1280000000000001</v>
      </c>
      <c r="D12" s="15">
        <v>4.3479999999999999</v>
      </c>
      <c r="E12" s="19">
        <v>5.4850000000000003</v>
      </c>
      <c r="F12" s="1" t="str">
        <f>HYPERLINK("http://www.ncbi.nlm.nih.gov/pubmed/?term=Traf2","Traf2")</f>
        <v>Traf2</v>
      </c>
    </row>
    <row r="13" spans="1:6" x14ac:dyDescent="0.25">
      <c r="A13" t="s">
        <v>1352</v>
      </c>
      <c r="B13" t="s">
        <v>2160</v>
      </c>
      <c r="C13" s="19">
        <v>4.5460000000000003</v>
      </c>
      <c r="D13" s="19">
        <v>4.9820000000000002</v>
      </c>
      <c r="E13" s="3">
        <v>6.2560000000000002</v>
      </c>
      <c r="F13" s="1" t="str">
        <f>HYPERLINK("http://www.ncbi.nlm.nih.gov/pubmed/?term=Ikbkb","Ikbkb")</f>
        <v>Ikbkb</v>
      </c>
    </row>
    <row r="14" spans="1:6" x14ac:dyDescent="0.25">
      <c r="A14" t="s">
        <v>2042</v>
      </c>
      <c r="B14" t="s">
        <v>1233</v>
      </c>
      <c r="C14" s="3">
        <v>5.5170000000000003</v>
      </c>
      <c r="D14" s="3">
        <v>5.56</v>
      </c>
      <c r="E14" s="9">
        <v>7.3120000000000003</v>
      </c>
      <c r="F14" s="1" t="str">
        <f>HYPERLINK("http://www.ncbi.nlm.nih.gov/pubmed/?term=Birc3","Birc3")</f>
        <v>Birc3</v>
      </c>
    </row>
    <row r="15" spans="1:6" x14ac:dyDescent="0.25">
      <c r="A15" t="s">
        <v>333</v>
      </c>
      <c r="B15" t="s">
        <v>1460</v>
      </c>
      <c r="C15" s="26">
        <v>0.44829999999999998</v>
      </c>
      <c r="D15" s="37">
        <v>2.1360000000000001</v>
      </c>
      <c r="E15" s="15">
        <v>3.8809999999999998</v>
      </c>
      <c r="F15" s="1" t="str">
        <f>HYPERLINK("http://www.ncbi.nlm.nih.gov/pubmed/?term=Pik3cb","Pik3cb")</f>
        <v>Pik3cb</v>
      </c>
    </row>
    <row r="16" spans="1:6" x14ac:dyDescent="0.25">
      <c r="A16" t="s">
        <v>1849</v>
      </c>
      <c r="B16" t="s">
        <v>703</v>
      </c>
      <c r="C16" s="26">
        <v>-7.85E-2</v>
      </c>
      <c r="D16" s="15">
        <v>3.8530000000000002</v>
      </c>
      <c r="E16" s="39">
        <v>8.1</v>
      </c>
      <c r="F16" s="1" t="str">
        <f>HYPERLINK("http://www.ncbi.nlm.nih.gov/pubmed/?term=Ptgs2","Ptgs2")</f>
        <v>Ptgs2</v>
      </c>
    </row>
    <row r="17" spans="1:6" x14ac:dyDescent="0.25">
      <c r="A17" t="s">
        <v>979</v>
      </c>
      <c r="B17" t="s">
        <v>1058</v>
      </c>
      <c r="C17" s="26">
        <v>-1.1819999999999999</v>
      </c>
      <c r="D17" s="15">
        <v>3.6190000000000002</v>
      </c>
      <c r="E17" s="19">
        <v>4.5949999999999998</v>
      </c>
      <c r="F17" s="1" t="str">
        <f>HYPERLINK("http://www.ncbi.nlm.nih.gov/pubmed/?term=Cdkn2b","Cdkn2b")</f>
        <v>Cdkn2b</v>
      </c>
    </row>
    <row r="18" spans="1:6" x14ac:dyDescent="0.25">
      <c r="A18" t="s">
        <v>1674</v>
      </c>
      <c r="B18" t="s">
        <v>52</v>
      </c>
      <c r="C18" s="41">
        <v>3.4660000000000002</v>
      </c>
      <c r="D18" s="15">
        <v>3.9079999999999999</v>
      </c>
      <c r="E18" s="37">
        <v>2.2549999999999999</v>
      </c>
      <c r="F18" s="1" t="str">
        <f>HYPERLINK("http://www.ncbi.nlm.nih.gov/pubmed/?term=Lama5","Lama5")</f>
        <v>Lama5</v>
      </c>
    </row>
    <row r="19" spans="1:6" x14ac:dyDescent="0.25">
      <c r="A19" t="s">
        <v>335</v>
      </c>
      <c r="B19" t="s">
        <v>50</v>
      </c>
      <c r="C19" s="19">
        <v>5.3849999999999998</v>
      </c>
      <c r="D19" s="3">
        <v>5.9589999999999996</v>
      </c>
      <c r="E19" s="15">
        <v>4.1619999999999999</v>
      </c>
      <c r="F19" s="1" t="str">
        <f>HYPERLINK("http://www.ncbi.nlm.nih.gov/pubmed/?term=Lama3","Lama3")</f>
        <v>Lama3</v>
      </c>
    </row>
    <row r="20" spans="1:6" x14ac:dyDescent="0.25">
      <c r="A20" t="s">
        <v>1210</v>
      </c>
      <c r="B20" t="s">
        <v>1944</v>
      </c>
      <c r="C20" s="19">
        <v>4.9720000000000004</v>
      </c>
      <c r="D20" s="3">
        <v>6.375</v>
      </c>
      <c r="E20" s="19">
        <v>4.8499999999999996</v>
      </c>
      <c r="F20" s="1" t="str">
        <f>HYPERLINK("http://www.ncbi.nlm.nih.gov/pubmed/?term=Lamc2","Lamc2")</f>
        <v>Lamc2</v>
      </c>
    </row>
    <row r="21" spans="1:6" x14ac:dyDescent="0.25">
      <c r="A21" t="s">
        <v>880</v>
      </c>
      <c r="B21" t="s">
        <v>1788</v>
      </c>
      <c r="C21" s="3">
        <v>5.6509999999999998</v>
      </c>
      <c r="D21" s="3">
        <v>5.7839999999999998</v>
      </c>
      <c r="E21" s="41">
        <v>2.7770000000000001</v>
      </c>
      <c r="F21" s="1" t="str">
        <f>HYPERLINK("http://www.ncbi.nlm.nih.gov/pubmed/?term=Lamb3","Lamb3")</f>
        <v>Lamb3</v>
      </c>
    </row>
    <row r="22" spans="1:6" x14ac:dyDescent="0.25">
      <c r="A22" t="s">
        <v>1806</v>
      </c>
      <c r="B22" t="s">
        <v>485</v>
      </c>
      <c r="C22" s="9">
        <v>6.548</v>
      </c>
      <c r="D22" s="9">
        <v>7.0190000000000001</v>
      </c>
      <c r="E22" s="19">
        <v>5.0270000000000001</v>
      </c>
      <c r="F22" s="1" t="str">
        <f>HYPERLINK("http://www.ncbi.nlm.nih.gov/pubmed/?term=Col4a1","Col4a1")</f>
        <v>Col4a1</v>
      </c>
    </row>
    <row r="23" spans="1:6" x14ac:dyDescent="0.25">
      <c r="A23" t="s">
        <v>1619</v>
      </c>
      <c r="B23" t="s">
        <v>1787</v>
      </c>
      <c r="C23" s="3">
        <v>6.2549999999999999</v>
      </c>
      <c r="D23" s="3">
        <v>5.7009999999999996</v>
      </c>
      <c r="E23" s="41">
        <v>3.476</v>
      </c>
      <c r="F23" s="1" t="str">
        <f>HYPERLINK("http://www.ncbi.nlm.nih.gov/pubmed/?term=Lamb1","Lamb1")</f>
        <v>Lamb1</v>
      </c>
    </row>
    <row r="24" spans="1:6" x14ac:dyDescent="0.25">
      <c r="A24" t="s">
        <v>1840</v>
      </c>
      <c r="B24" t="s">
        <v>1579</v>
      </c>
      <c r="C24" s="19">
        <v>5.0369999999999999</v>
      </c>
      <c r="D24" s="15">
        <v>4.2450000000000001</v>
      </c>
      <c r="E24" s="15">
        <v>3.851</v>
      </c>
      <c r="F24" s="1" t="str">
        <f>HYPERLINK("http://www.ncbi.nlm.nih.gov/pubmed/?term=Cdkn1b","Cdkn1b")</f>
        <v>Cdkn1b</v>
      </c>
    </row>
    <row r="25" spans="1:6" x14ac:dyDescent="0.25">
      <c r="A25" t="s">
        <v>961</v>
      </c>
      <c r="B25" t="s">
        <v>51</v>
      </c>
      <c r="C25" s="15">
        <v>4.2140000000000004</v>
      </c>
      <c r="D25" s="15">
        <v>3.5419999999999998</v>
      </c>
      <c r="E25" s="37">
        <v>2.4350000000000001</v>
      </c>
      <c r="F25" s="1" t="str">
        <f>HYPERLINK("http://www.ncbi.nlm.nih.gov/pubmed/?term=Lama4","Lama4")</f>
        <v>Lama4</v>
      </c>
    </row>
    <row r="26" spans="1:6" x14ac:dyDescent="0.25">
      <c r="A26" t="s">
        <v>905</v>
      </c>
      <c r="B26" t="s">
        <v>1814</v>
      </c>
      <c r="C26" s="15">
        <v>3.7959999999999998</v>
      </c>
      <c r="D26" s="41">
        <v>3.0990000000000002</v>
      </c>
      <c r="E26" s="41">
        <v>2.85</v>
      </c>
      <c r="F26" s="1" t="str">
        <f>HYPERLINK("http://www.ncbi.nlm.nih.gov/pubmed/?term=Pias2","Pias2")</f>
        <v>Pias2</v>
      </c>
    </row>
    <row r="27" spans="1:6" x14ac:dyDescent="0.25">
      <c r="A27" t="s">
        <v>1211</v>
      </c>
      <c r="B27" t="s">
        <v>1946</v>
      </c>
      <c r="C27" s="3">
        <v>5.6539999999999999</v>
      </c>
      <c r="D27" s="15">
        <v>3.6970000000000001</v>
      </c>
      <c r="E27" s="37">
        <v>2.4590000000000001</v>
      </c>
      <c r="F27" s="1" t="str">
        <f>HYPERLINK("http://www.ncbi.nlm.nih.gov/pubmed/?term=Lamc1","Lamc1")</f>
        <v>Lamc1</v>
      </c>
    </row>
    <row r="28" spans="1:6" x14ac:dyDescent="0.25">
      <c r="A28" t="s">
        <v>1544</v>
      </c>
      <c r="B28" t="s">
        <v>774</v>
      </c>
      <c r="C28" s="15">
        <v>3.528</v>
      </c>
      <c r="D28" s="8">
        <v>0.76790000000000003</v>
      </c>
      <c r="E28" s="26">
        <v>-0.55920000000000003</v>
      </c>
      <c r="F28" s="1" t="str">
        <f>HYPERLINK("http://www.ncbi.nlm.nih.gov/pubmed/?term=Col4a5","Col4a5")</f>
        <v>Col4a5</v>
      </c>
    </row>
    <row r="29" spans="1:6" x14ac:dyDescent="0.25">
      <c r="A29" t="s">
        <v>1805</v>
      </c>
      <c r="B29" t="s">
        <v>781</v>
      </c>
      <c r="C29" s="9">
        <v>6.66</v>
      </c>
      <c r="D29" s="3">
        <v>6.1059999999999999</v>
      </c>
      <c r="E29" s="15">
        <v>4.1219999999999999</v>
      </c>
      <c r="F29" s="1" t="str">
        <f>HYPERLINK("http://www.ncbi.nlm.nih.gov/pubmed/?term=Col4a2","Col4a2")</f>
        <v>Col4a2</v>
      </c>
    </row>
    <row r="30" spans="1:6" x14ac:dyDescent="0.25">
      <c r="A30" t="s">
        <v>1205</v>
      </c>
      <c r="B30" t="s">
        <v>1329</v>
      </c>
      <c r="C30" s="3">
        <v>5.6820000000000004</v>
      </c>
      <c r="D30" s="19">
        <v>5.0220000000000002</v>
      </c>
      <c r="E30" s="19">
        <v>4.7060000000000004</v>
      </c>
      <c r="F30" s="1" t="str">
        <f>HYPERLINK("http://www.ncbi.nlm.nih.gov/pubmed/?term=Pik3r2","Pik3r2")</f>
        <v>Pik3r2</v>
      </c>
    </row>
    <row r="31" spans="1:6" x14ac:dyDescent="0.25">
      <c r="A31" t="s">
        <v>731</v>
      </c>
      <c r="B31" t="s">
        <v>1330</v>
      </c>
      <c r="C31" s="19">
        <v>4.9180000000000001</v>
      </c>
      <c r="D31" s="19">
        <v>4.8079999999999998</v>
      </c>
      <c r="E31" s="15">
        <v>3.7410000000000001</v>
      </c>
      <c r="F31" s="1" t="str">
        <f>HYPERLINK("http://www.ncbi.nlm.nih.gov/pubmed/?term=Pik3r1","Pik3r1")</f>
        <v>Pik3r1</v>
      </c>
    </row>
    <row r="32" spans="1:6" x14ac:dyDescent="0.25">
      <c r="A32" t="s">
        <v>2024</v>
      </c>
      <c r="B32" t="s">
        <v>15</v>
      </c>
      <c r="C32" s="15">
        <v>3.827</v>
      </c>
      <c r="D32" s="41">
        <v>2.8050000000000002</v>
      </c>
      <c r="E32" s="37">
        <v>2.2109999999999999</v>
      </c>
      <c r="F32" s="1" t="str">
        <f>HYPERLINK("http://www.ncbi.nlm.nih.gov/pubmed/?term=Bcl2","Bcl2")</f>
        <v>Bcl2</v>
      </c>
    </row>
    <row r="33" spans="1:6" x14ac:dyDescent="0.25">
      <c r="A33" t="s">
        <v>1852</v>
      </c>
      <c r="B33" t="s">
        <v>1070</v>
      </c>
      <c r="C33" s="39">
        <v>7.577</v>
      </c>
      <c r="D33" s="39">
        <v>7.5250000000000004</v>
      </c>
      <c r="E33" s="43">
        <v>9.6739999999999995</v>
      </c>
      <c r="F33" s="1" t="str">
        <f>HYPERLINK("http://www.ncbi.nlm.nih.gov/pubmed/?term=Nfkbia","Nfkbia")</f>
        <v>Nfkbia</v>
      </c>
    </row>
    <row r="34" spans="1:6" x14ac:dyDescent="0.25">
      <c r="A34" t="s">
        <v>529</v>
      </c>
      <c r="B34" t="s">
        <v>1321</v>
      </c>
      <c r="C34" s="41">
        <v>3.3559999999999999</v>
      </c>
      <c r="D34" s="41">
        <v>3.198</v>
      </c>
      <c r="E34" s="19">
        <v>5.0339999999999998</v>
      </c>
      <c r="F34" s="1" t="str">
        <f>HYPERLINK("http://www.ncbi.nlm.nih.gov/pubmed/?term=Traf6","Traf6")</f>
        <v>Traf6</v>
      </c>
    </row>
    <row r="35" spans="1:6" x14ac:dyDescent="0.25">
      <c r="A35" t="s">
        <v>427</v>
      </c>
      <c r="B35" t="s">
        <v>1234</v>
      </c>
      <c r="C35" s="19">
        <v>5.4820000000000002</v>
      </c>
      <c r="D35" s="19">
        <v>5.2619999999999996</v>
      </c>
      <c r="E35" s="3">
        <v>6.2539999999999996</v>
      </c>
      <c r="F35" s="1" t="str">
        <f>HYPERLINK("http://www.ncbi.nlm.nih.gov/pubmed/?term=Birc2","Birc2")</f>
        <v>Birc2</v>
      </c>
    </row>
    <row r="36" spans="1:6" x14ac:dyDescent="0.25">
      <c r="A36" t="s">
        <v>254</v>
      </c>
      <c r="B36" t="s">
        <v>361</v>
      </c>
      <c r="C36" s="19">
        <v>4.6449999999999996</v>
      </c>
      <c r="D36" s="15">
        <v>3.7330000000000001</v>
      </c>
      <c r="E36" s="19">
        <v>4.7910000000000004</v>
      </c>
      <c r="F36" s="1" t="str">
        <f>HYPERLINK("http://www.ncbi.nlm.nih.gov/pubmed/?term=Cks2","Cks2")</f>
        <v>Cks2</v>
      </c>
    </row>
    <row r="37" spans="1:6" x14ac:dyDescent="0.25">
      <c r="A37" t="s">
        <v>1029</v>
      </c>
      <c r="B37" t="s">
        <v>1277</v>
      </c>
      <c r="C37" s="9">
        <v>6.9329999999999998</v>
      </c>
      <c r="D37" s="41">
        <v>3.0720000000000001</v>
      </c>
      <c r="E37" s="15">
        <v>4.2380000000000004</v>
      </c>
      <c r="F37" s="1" t="str">
        <f>HYPERLINK("http://www.ncbi.nlm.nih.gov/pubmed/?term=Fn1","Fn1")</f>
        <v>Fn1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1411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853</v>
      </c>
      <c r="B5" t="s">
        <v>1990</v>
      </c>
      <c r="C5" s="26">
        <v>2.0140000000000002E-2</v>
      </c>
      <c r="D5" s="19">
        <v>5.3710000000000004</v>
      </c>
      <c r="E5" s="15">
        <v>4.4320000000000004</v>
      </c>
      <c r="F5" s="1" t="str">
        <f>HYPERLINK("http://www.ncbi.nlm.nih.gov/pubmed/?term=Ccnd1","Ccnd1")</f>
        <v>Ccnd1</v>
      </c>
    </row>
    <row r="6" spans="1:6" x14ac:dyDescent="0.25">
      <c r="A6" t="s">
        <v>389</v>
      </c>
      <c r="B6" t="s">
        <v>712</v>
      </c>
      <c r="C6" s="37">
        <v>2.3450000000000002</v>
      </c>
      <c r="D6" s="3">
        <v>5.5529999999999999</v>
      </c>
      <c r="E6" s="9">
        <v>6.5759999999999996</v>
      </c>
      <c r="F6" s="1" t="str">
        <f>HYPERLINK("http://www.ncbi.nlm.nih.gov/pubmed/?term=Stat5a","Stat5a")</f>
        <v>Stat5a</v>
      </c>
    </row>
    <row r="7" spans="1:6" x14ac:dyDescent="0.25">
      <c r="A7" t="s">
        <v>1237</v>
      </c>
      <c r="B7" t="s">
        <v>1139</v>
      </c>
      <c r="C7" s="15">
        <v>4.141</v>
      </c>
      <c r="D7" s="15">
        <v>4.1669999999999998</v>
      </c>
      <c r="E7" s="9">
        <v>6.782</v>
      </c>
      <c r="F7" s="1" t="str">
        <f>HYPERLINK("http://www.ncbi.nlm.nih.gov/pubmed/?term=Bcl2l1","Bcl2l1")</f>
        <v>Bcl2l1</v>
      </c>
    </row>
    <row r="8" spans="1:6" x14ac:dyDescent="0.25">
      <c r="A8" t="s">
        <v>567</v>
      </c>
      <c r="B8" t="s">
        <v>1580</v>
      </c>
      <c r="C8" s="15">
        <v>3.569</v>
      </c>
      <c r="D8" s="3">
        <v>5.556</v>
      </c>
      <c r="E8" s="3">
        <v>6.1470000000000002</v>
      </c>
      <c r="F8" s="1" t="str">
        <f>HYPERLINK("http://www.ncbi.nlm.nih.gov/pubmed/?term=Cdkn1a","Cdkn1a")</f>
        <v>Cdkn1a</v>
      </c>
    </row>
    <row r="9" spans="1:6" x14ac:dyDescent="0.25">
      <c r="A9" t="s">
        <v>2023</v>
      </c>
      <c r="B9" t="s">
        <v>897</v>
      </c>
      <c r="C9" s="15">
        <v>4.37</v>
      </c>
      <c r="D9" s="19">
        <v>5.0970000000000004</v>
      </c>
      <c r="E9" s="19">
        <v>5.4119999999999999</v>
      </c>
      <c r="F9" s="1" t="str">
        <f>HYPERLINK("http://www.ncbi.nlm.nih.gov/pubmed/?term=Hras1","Hras1")</f>
        <v>Hras1</v>
      </c>
    </row>
    <row r="10" spans="1:6" x14ac:dyDescent="0.25">
      <c r="A10" t="s">
        <v>1352</v>
      </c>
      <c r="B10" t="s">
        <v>2160</v>
      </c>
      <c r="C10" s="19">
        <v>4.5460000000000003</v>
      </c>
      <c r="D10" s="19">
        <v>4.9820000000000002</v>
      </c>
      <c r="E10" s="3">
        <v>6.2560000000000002</v>
      </c>
      <c r="F10" s="1" t="str">
        <f>HYPERLINK("http://www.ncbi.nlm.nih.gov/pubmed/?term=Ikbkb","Ikbkb")</f>
        <v>Ikbkb</v>
      </c>
    </row>
    <row r="11" spans="1:6" x14ac:dyDescent="0.25">
      <c r="A11" t="s">
        <v>333</v>
      </c>
      <c r="B11" t="s">
        <v>1460</v>
      </c>
      <c r="C11" s="26">
        <v>0.44829999999999998</v>
      </c>
      <c r="D11" s="37">
        <v>2.1360000000000001</v>
      </c>
      <c r="E11" s="15">
        <v>3.8809999999999998</v>
      </c>
      <c r="F11" s="1" t="str">
        <f>HYPERLINK("http://www.ncbi.nlm.nih.gov/pubmed/?term=Pik3cb","Pik3cb")</f>
        <v>Pik3cb</v>
      </c>
    </row>
    <row r="12" spans="1:6" x14ac:dyDescent="0.25">
      <c r="A12" t="s">
        <v>823</v>
      </c>
      <c r="B12" t="s">
        <v>1992</v>
      </c>
      <c r="C12" s="26">
        <v>-2.1560000000000001</v>
      </c>
      <c r="D12" s="41">
        <v>3.274</v>
      </c>
      <c r="E12" s="15">
        <v>3.9910000000000001</v>
      </c>
      <c r="F12" s="1" t="str">
        <f>HYPERLINK("http://www.ncbi.nlm.nih.gov/pubmed/?term=Cdkn2a","Cdkn2a")</f>
        <v>Cdkn2a</v>
      </c>
    </row>
    <row r="13" spans="1:6" x14ac:dyDescent="0.25">
      <c r="A13" t="s">
        <v>1840</v>
      </c>
      <c r="B13" t="s">
        <v>1579</v>
      </c>
      <c r="C13" s="19">
        <v>5.0369999999999999</v>
      </c>
      <c r="D13" s="15">
        <v>4.2450000000000001</v>
      </c>
      <c r="E13" s="15">
        <v>3.851</v>
      </c>
      <c r="F13" s="1" t="str">
        <f>HYPERLINK("http://www.ncbi.nlm.nih.gov/pubmed/?term=Cdkn1b","Cdkn1b")</f>
        <v>Cdkn1b</v>
      </c>
    </row>
    <row r="14" spans="1:6" x14ac:dyDescent="0.25">
      <c r="A14" t="s">
        <v>1733</v>
      </c>
      <c r="B14" t="s">
        <v>1829</v>
      </c>
      <c r="C14" s="15">
        <v>3.9809999999999999</v>
      </c>
      <c r="D14" s="41">
        <v>3.1789999999999998</v>
      </c>
      <c r="E14" s="41">
        <v>2.843</v>
      </c>
      <c r="F14" s="1" t="str">
        <f>HYPERLINK("http://www.ncbi.nlm.nih.gov/pubmed/?term=Crkl","Crkl")</f>
        <v>Crkl</v>
      </c>
    </row>
    <row r="15" spans="1:6" x14ac:dyDescent="0.25">
      <c r="A15" t="s">
        <v>641</v>
      </c>
      <c r="B15" t="s">
        <v>346</v>
      </c>
      <c r="C15" s="3">
        <v>5.5090000000000003</v>
      </c>
      <c r="D15" s="19">
        <v>4.79</v>
      </c>
      <c r="E15" s="15">
        <v>4.3810000000000002</v>
      </c>
      <c r="F15" s="1" t="str">
        <f>HYPERLINK("http://www.ncbi.nlm.nih.gov/pubmed/?term=Crk","Crk")</f>
        <v>Crk</v>
      </c>
    </row>
    <row r="16" spans="1:6" x14ac:dyDescent="0.25">
      <c r="A16" t="s">
        <v>767</v>
      </c>
      <c r="B16" t="s">
        <v>423</v>
      </c>
      <c r="C16" s="19">
        <v>4.8289999999999997</v>
      </c>
      <c r="D16" s="15">
        <v>4.407</v>
      </c>
      <c r="E16" s="41">
        <v>3.44</v>
      </c>
      <c r="F16" s="1" t="str">
        <f>HYPERLINK("http://www.ncbi.nlm.nih.gov/pubmed/?term=Abl1","Abl1")</f>
        <v>Abl1</v>
      </c>
    </row>
    <row r="17" spans="1:6" x14ac:dyDescent="0.25">
      <c r="A17" t="s">
        <v>1205</v>
      </c>
      <c r="B17" t="s">
        <v>1329</v>
      </c>
      <c r="C17" s="3">
        <v>5.6820000000000004</v>
      </c>
      <c r="D17" s="19">
        <v>5.0220000000000002</v>
      </c>
      <c r="E17" s="19">
        <v>4.7060000000000004</v>
      </c>
      <c r="F17" s="1" t="str">
        <f>HYPERLINK("http://www.ncbi.nlm.nih.gov/pubmed/?term=Pik3r2","Pik3r2")</f>
        <v>Pik3r2</v>
      </c>
    </row>
    <row r="18" spans="1:6" x14ac:dyDescent="0.25">
      <c r="A18" t="s">
        <v>650</v>
      </c>
      <c r="B18" t="s">
        <v>2046</v>
      </c>
      <c r="C18" s="19">
        <v>4.5739999999999998</v>
      </c>
      <c r="D18" s="37">
        <v>2.1139999999999999</v>
      </c>
      <c r="E18" s="26">
        <v>-0.61719999999999997</v>
      </c>
      <c r="F18" s="1" t="str">
        <f>HYPERLINK("http://www.ncbi.nlm.nih.gov/pubmed/?term=Tgfbr2","Tgfbr2")</f>
        <v>Tgfbr2</v>
      </c>
    </row>
    <row r="19" spans="1:6" x14ac:dyDescent="0.25">
      <c r="A19" t="s">
        <v>731</v>
      </c>
      <c r="B19" t="s">
        <v>1330</v>
      </c>
      <c r="C19" s="19">
        <v>4.9180000000000001</v>
      </c>
      <c r="D19" s="19">
        <v>4.8079999999999998</v>
      </c>
      <c r="E19" s="15">
        <v>3.7410000000000001</v>
      </c>
      <c r="F19" s="1" t="str">
        <f>HYPERLINK("http://www.ncbi.nlm.nih.gov/pubmed/?term=Pik3r1","Pik3r1")</f>
        <v>Pik3r1</v>
      </c>
    </row>
    <row r="20" spans="1:6" x14ac:dyDescent="0.25">
      <c r="A20" t="s">
        <v>133</v>
      </c>
      <c r="B20" t="s">
        <v>1453</v>
      </c>
      <c r="C20" s="19">
        <v>4.9180000000000001</v>
      </c>
      <c r="D20" s="19">
        <v>4.5679999999999996</v>
      </c>
      <c r="E20" s="3">
        <v>5.891</v>
      </c>
      <c r="F20" s="1" t="str">
        <f>HYPERLINK("http://www.ncbi.nlm.nih.gov/pubmed/?term=Mdm2","Mdm2")</f>
        <v>Mdm2</v>
      </c>
    </row>
    <row r="21" spans="1:6" x14ac:dyDescent="0.25">
      <c r="A21" t="s">
        <v>1177</v>
      </c>
      <c r="B21" t="s">
        <v>711</v>
      </c>
      <c r="C21" s="41">
        <v>3.2429999999999999</v>
      </c>
      <c r="D21" s="41">
        <v>2.9780000000000002</v>
      </c>
      <c r="E21" s="19">
        <v>4.7270000000000003</v>
      </c>
      <c r="F21" s="1" t="str">
        <f>HYPERLINK("http://www.ncbi.nlm.nih.gov/pubmed/?term=Stat5b","Stat5b")</f>
        <v>Stat5b</v>
      </c>
    </row>
    <row r="22" spans="1:6" x14ac:dyDescent="0.25">
      <c r="A22" t="s">
        <v>1852</v>
      </c>
      <c r="B22" t="s">
        <v>1070</v>
      </c>
      <c r="C22" s="39">
        <v>7.577</v>
      </c>
      <c r="D22" s="39">
        <v>7.5250000000000004</v>
      </c>
      <c r="E22" s="43">
        <v>9.6739999999999995</v>
      </c>
      <c r="F22" s="1" t="str">
        <f>HYPERLINK("http://www.ncbi.nlm.nih.gov/pubmed/?term=Nfkbia","Nfkbia")</f>
        <v>Nfkbia</v>
      </c>
    </row>
    <row r="23" spans="1:6" x14ac:dyDescent="0.25">
      <c r="A23" t="s">
        <v>159</v>
      </c>
      <c r="B23" t="s">
        <v>1644</v>
      </c>
      <c r="C23" s="9">
        <v>6.5579999999999998</v>
      </c>
      <c r="D23" s="19">
        <v>4.7640000000000002</v>
      </c>
      <c r="E23" s="19">
        <v>5.4039999999999999</v>
      </c>
      <c r="F23" s="1" t="str">
        <f>HYPERLINK("http://www.ncbi.nlm.nih.gov/pubmed/?term=Map2k1","Map2k1")</f>
        <v>Map2k1</v>
      </c>
    </row>
    <row r="24" spans="1:6" x14ac:dyDescent="0.25">
      <c r="A24" t="s">
        <v>1289</v>
      </c>
      <c r="B24" t="s">
        <v>2001</v>
      </c>
      <c r="C24" s="19">
        <v>4.7679999999999998</v>
      </c>
      <c r="D24" s="41">
        <v>2.8929999999999998</v>
      </c>
      <c r="E24" s="41">
        <v>3.339</v>
      </c>
      <c r="F24" s="1" t="str">
        <f>HYPERLINK("http://www.ncbi.nlm.nih.gov/pubmed/?term=Smad3","Smad3")</f>
        <v>Smad3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2137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1258</v>
      </c>
      <c r="B5" t="s">
        <v>288</v>
      </c>
      <c r="C5" s="44">
        <v>3.887</v>
      </c>
      <c r="D5" s="31">
        <v>5.8079999999999998</v>
      </c>
      <c r="E5" s="5">
        <v>4.7480000000000002</v>
      </c>
      <c r="F5" s="1" t="str">
        <f>HYPERLINK("http://www.ncbi.nlm.nih.gov/pubmed/?term=Sdc1","Sdc1")</f>
        <v>Sdc1</v>
      </c>
    </row>
    <row r="6" spans="1:6" x14ac:dyDescent="0.25">
      <c r="A6" t="s">
        <v>914</v>
      </c>
      <c r="B6" t="s">
        <v>1551</v>
      </c>
      <c r="C6" s="4">
        <v>1.845</v>
      </c>
      <c r="D6" s="44">
        <v>4.335</v>
      </c>
      <c r="E6" s="50">
        <v>3.012</v>
      </c>
      <c r="F6" s="1" t="str">
        <f>HYPERLINK("http://www.ncbi.nlm.nih.gov/pubmed/?term=Cldn1","Cldn1")</f>
        <v>Cldn1</v>
      </c>
    </row>
    <row r="7" spans="1:6" x14ac:dyDescent="0.25">
      <c r="A7" t="s">
        <v>1771</v>
      </c>
      <c r="B7" t="s">
        <v>815</v>
      </c>
      <c r="C7" s="30">
        <v>1.4219999999999999</v>
      </c>
      <c r="D7" s="44">
        <v>4.4189999999999996</v>
      </c>
      <c r="E7" s="50">
        <v>3.0720000000000001</v>
      </c>
      <c r="F7" s="1" t="str">
        <f>HYPERLINK("http://www.ncbi.nlm.nih.gov/pubmed/?term=Cdh2","Cdh2")</f>
        <v>Cdh2</v>
      </c>
    </row>
    <row r="8" spans="1:6" x14ac:dyDescent="0.25">
      <c r="A8" t="s">
        <v>1648</v>
      </c>
      <c r="B8" t="s">
        <v>311</v>
      </c>
      <c r="C8" s="31">
        <v>5.6260000000000003</v>
      </c>
      <c r="D8" s="35">
        <v>7.0359999999999996</v>
      </c>
      <c r="E8" s="31">
        <v>6.3810000000000002</v>
      </c>
      <c r="F8" s="1" t="str">
        <f>HYPERLINK("http://www.ncbi.nlm.nih.gov/pubmed/?term=Itga6","Itga6")</f>
        <v>Itga6</v>
      </c>
    </row>
    <row r="9" spans="1:6" x14ac:dyDescent="0.25">
      <c r="A9" t="s">
        <v>742</v>
      </c>
      <c r="B9" t="s">
        <v>92</v>
      </c>
      <c r="C9" s="26">
        <v>-2.0190000000000001</v>
      </c>
      <c r="D9" s="44">
        <v>4.4619999999999997</v>
      </c>
      <c r="E9" s="4">
        <v>2.2490000000000001</v>
      </c>
      <c r="F9" s="1" t="str">
        <f>HYPERLINK("http://www.ncbi.nlm.nih.gov/pubmed/?term=L1cam","L1cam")</f>
        <v>L1cam</v>
      </c>
    </row>
    <row r="10" spans="1:6" x14ac:dyDescent="0.25">
      <c r="A10" t="s">
        <v>1057</v>
      </c>
      <c r="B10" t="s">
        <v>1807</v>
      </c>
      <c r="C10" s="26">
        <v>-1.847</v>
      </c>
      <c r="D10" s="44">
        <v>3.5230000000000001</v>
      </c>
      <c r="E10" s="4">
        <v>1.589</v>
      </c>
      <c r="F10" s="1" t="str">
        <f>HYPERLINK("http://www.ncbi.nlm.nih.gov/pubmed/?term=Ncam1","Ncam1")</f>
        <v>Ncam1</v>
      </c>
    </row>
    <row r="11" spans="1:6" x14ac:dyDescent="0.25">
      <c r="A11" t="s">
        <v>1208</v>
      </c>
      <c r="B11" t="s">
        <v>587</v>
      </c>
      <c r="C11" s="44">
        <v>3.6619999999999999</v>
      </c>
      <c r="D11" s="31">
        <v>5.7629999999999999</v>
      </c>
      <c r="E11" s="44">
        <v>4.4850000000000003</v>
      </c>
      <c r="F11" s="1" t="str">
        <f>HYPERLINK("http://www.ncbi.nlm.nih.gov/pubmed/?term=H2-T22","H2-T22")</f>
        <v>H2-T22</v>
      </c>
    </row>
    <row r="12" spans="1:6" x14ac:dyDescent="0.25">
      <c r="A12" t="s">
        <v>230</v>
      </c>
      <c r="B12" t="s">
        <v>1227</v>
      </c>
      <c r="C12" s="4">
        <v>2.4780000000000002</v>
      </c>
      <c r="D12" s="44">
        <v>3.7959999999999998</v>
      </c>
      <c r="E12" s="50">
        <v>3.4470000000000001</v>
      </c>
      <c r="F12" s="1" t="str">
        <f>HYPERLINK("http://www.ncbi.nlm.nih.gov/pubmed/?term=Pvrl2","Pvrl2")</f>
        <v>Pvrl2</v>
      </c>
    </row>
    <row r="13" spans="1:6" x14ac:dyDescent="0.25">
      <c r="A13" t="s">
        <v>85</v>
      </c>
      <c r="B13" t="s">
        <v>1966</v>
      </c>
      <c r="C13" s="5">
        <v>4.7370000000000001</v>
      </c>
      <c r="D13" s="6">
        <v>8.1150000000000002</v>
      </c>
      <c r="E13" s="6">
        <v>7.9050000000000002</v>
      </c>
      <c r="F13" s="1" t="str">
        <f>HYPERLINK("http://www.ncbi.nlm.nih.gov/pubmed/?term=H2-Q6","H2-Q6")</f>
        <v>H2-Q6</v>
      </c>
    </row>
    <row r="14" spans="1:6" x14ac:dyDescent="0.25">
      <c r="A14" t="s">
        <v>1450</v>
      </c>
      <c r="B14" t="s">
        <v>1639</v>
      </c>
      <c r="C14" s="30">
        <v>0.80230000000000001</v>
      </c>
      <c r="D14" s="5">
        <v>5.1109999999999998</v>
      </c>
      <c r="E14" s="6">
        <v>8.3770000000000007</v>
      </c>
      <c r="F14" s="1" t="str">
        <f>HYPERLINK("http://www.ncbi.nlm.nih.gov/pubmed/?term=Icosl","Icosl")</f>
        <v>Icosl</v>
      </c>
    </row>
    <row r="15" spans="1:6" x14ac:dyDescent="0.25">
      <c r="A15" t="s">
        <v>1102</v>
      </c>
      <c r="B15" t="s">
        <v>1253</v>
      </c>
      <c r="C15" s="26">
        <v>-1.546</v>
      </c>
      <c r="D15" s="30">
        <v>0.9718</v>
      </c>
      <c r="E15" s="31">
        <v>5.7430000000000003</v>
      </c>
      <c r="F15" s="1" t="str">
        <f>HYPERLINK("http://www.ncbi.nlm.nih.gov/pubmed/?term=Cldn13","Cldn13")</f>
        <v>Cldn13</v>
      </c>
    </row>
    <row r="16" spans="1:6" x14ac:dyDescent="0.25">
      <c r="A16" t="s">
        <v>926</v>
      </c>
      <c r="B16" t="s">
        <v>1104</v>
      </c>
      <c r="C16" s="44">
        <v>3.8570000000000002</v>
      </c>
      <c r="D16" s="5">
        <v>4.992</v>
      </c>
      <c r="E16" s="31">
        <v>5.6529999999999996</v>
      </c>
      <c r="F16" s="1" t="str">
        <f>HYPERLINK("http://www.ncbi.nlm.nih.gov/pubmed/?term=H2-M3","H2-M3")</f>
        <v>H2-M3</v>
      </c>
    </row>
    <row r="17" spans="1:6" x14ac:dyDescent="0.25">
      <c r="A17" t="s">
        <v>1861</v>
      </c>
      <c r="B17" t="s">
        <v>1105</v>
      </c>
      <c r="C17" s="44">
        <v>4.3949999999999996</v>
      </c>
      <c r="D17" s="35">
        <v>6.8019999999999996</v>
      </c>
      <c r="E17" s="35">
        <v>7.444</v>
      </c>
      <c r="F17" s="1" t="str">
        <f>HYPERLINK("http://www.ncbi.nlm.nih.gov/pubmed/?term=H2-M2","H2-M2")</f>
        <v>H2-M2</v>
      </c>
    </row>
    <row r="18" spans="1:6" x14ac:dyDescent="0.25">
      <c r="A18" t="s">
        <v>2054</v>
      </c>
      <c r="B18" t="s">
        <v>2120</v>
      </c>
      <c r="C18" s="26">
        <v>0.33090000000000003</v>
      </c>
      <c r="D18" s="50">
        <v>3.4620000000000002</v>
      </c>
      <c r="E18" s="5">
        <v>4.6449999999999996</v>
      </c>
      <c r="F18" s="1" t="str">
        <f>HYPERLINK("http://www.ncbi.nlm.nih.gov/pubmed/?term=Pdcd1lg2","Pdcd1lg2")</f>
        <v>Pdcd1lg2</v>
      </c>
    </row>
    <row r="19" spans="1:6" x14ac:dyDescent="0.25">
      <c r="A19" t="s">
        <v>810</v>
      </c>
      <c r="B19" t="s">
        <v>1922</v>
      </c>
      <c r="C19" s="26">
        <v>0.4627</v>
      </c>
      <c r="D19" s="4">
        <v>1.5680000000000001</v>
      </c>
      <c r="E19" s="5">
        <v>4.7460000000000004</v>
      </c>
      <c r="F19" s="1" t="str">
        <f>HYPERLINK("http://www.ncbi.nlm.nih.gov/pubmed/?term=Cntnap1","Cntnap1")</f>
        <v>Cntnap1</v>
      </c>
    </row>
    <row r="20" spans="1:6" x14ac:dyDescent="0.25">
      <c r="A20" t="s">
        <v>1754</v>
      </c>
      <c r="B20" t="s">
        <v>1555</v>
      </c>
      <c r="C20" s="26">
        <v>-0.63449999999999995</v>
      </c>
      <c r="D20" s="5">
        <v>5.0510000000000002</v>
      </c>
      <c r="E20" s="31">
        <v>6.3819999999999997</v>
      </c>
      <c r="F20" s="1" t="str">
        <f>HYPERLINK("http://www.ncbi.nlm.nih.gov/pubmed/?term=Cldn7","Cldn7")</f>
        <v>Cldn7</v>
      </c>
    </row>
    <row r="21" spans="1:6" x14ac:dyDescent="0.25">
      <c r="A21" t="s">
        <v>1898</v>
      </c>
      <c r="B21" t="s">
        <v>1818</v>
      </c>
      <c r="C21" s="26">
        <v>-3.1629999999999998</v>
      </c>
      <c r="D21" s="26">
        <v>-0.94540000000000002</v>
      </c>
      <c r="E21" s="44">
        <v>3.56</v>
      </c>
      <c r="F21" s="1" t="str">
        <f>HYPERLINK("http://www.ncbi.nlm.nih.gov/pubmed/?term=Madcam1","Madcam1")</f>
        <v>Madcam1</v>
      </c>
    </row>
    <row r="22" spans="1:6" x14ac:dyDescent="0.25">
      <c r="A22" t="s">
        <v>463</v>
      </c>
      <c r="B22" t="s">
        <v>256</v>
      </c>
      <c r="C22" s="4">
        <v>1.8109999999999999</v>
      </c>
      <c r="D22" s="50">
        <v>2.8540000000000001</v>
      </c>
      <c r="E22" s="44">
        <v>4.3890000000000002</v>
      </c>
      <c r="F22" s="1" t="str">
        <f>HYPERLINK("http://www.ncbi.nlm.nih.gov/pubmed/?term=Ocln","Ocln")</f>
        <v>Ocln</v>
      </c>
    </row>
    <row r="23" spans="1:6" x14ac:dyDescent="0.25">
      <c r="A23" t="s">
        <v>425</v>
      </c>
      <c r="B23" t="s">
        <v>757</v>
      </c>
      <c r="C23" s="4">
        <v>2.452</v>
      </c>
      <c r="D23" s="44">
        <v>3.6</v>
      </c>
      <c r="E23" s="44">
        <v>4.4000000000000004</v>
      </c>
      <c r="F23" s="1" t="str">
        <f>HYPERLINK("http://www.ncbi.nlm.nih.gov/pubmed/?term=Pvrl3","Pvrl3")</f>
        <v>Pvrl3</v>
      </c>
    </row>
    <row r="24" spans="1:6" x14ac:dyDescent="0.25">
      <c r="A24" t="s">
        <v>164</v>
      </c>
      <c r="B24" t="s">
        <v>2130</v>
      </c>
      <c r="C24" s="26">
        <v>-2.2599999999999998</v>
      </c>
      <c r="D24" s="26">
        <v>-1.3340000000000001</v>
      </c>
      <c r="E24" s="44">
        <v>3.8769999999999998</v>
      </c>
      <c r="F24" s="1" t="str">
        <f>HYPERLINK("http://www.ncbi.nlm.nih.gov/pubmed/?term=Cd86","Cd86")</f>
        <v>Cd86</v>
      </c>
    </row>
    <row r="25" spans="1:6" x14ac:dyDescent="0.25">
      <c r="A25" t="s">
        <v>1433</v>
      </c>
      <c r="B25" t="s">
        <v>2012</v>
      </c>
      <c r="C25" s="26">
        <v>-1.9139999999999999</v>
      </c>
      <c r="D25" s="4">
        <v>1.5580000000000001</v>
      </c>
      <c r="E25" s="50">
        <v>3.4169999999999998</v>
      </c>
      <c r="F25" s="1" t="str">
        <f>HYPERLINK("http://www.ncbi.nlm.nih.gov/pubmed/?term=Nrxn1","Nrxn1")</f>
        <v>Nrxn1</v>
      </c>
    </row>
    <row r="26" spans="1:6" x14ac:dyDescent="0.25">
      <c r="A26" t="s">
        <v>1402</v>
      </c>
      <c r="B26" t="s">
        <v>1294</v>
      </c>
      <c r="C26" s="26">
        <v>-2.9169999999999998</v>
      </c>
      <c r="D26" s="50">
        <v>3.1139999999999999</v>
      </c>
      <c r="E26" s="44">
        <v>3.8559999999999999</v>
      </c>
      <c r="F26" s="1" t="str">
        <f>HYPERLINK("http://www.ncbi.nlm.nih.gov/pubmed/?term=Itgb8","Itgb8")</f>
        <v>Itgb8</v>
      </c>
    </row>
    <row r="27" spans="1:6" x14ac:dyDescent="0.25">
      <c r="A27" t="s">
        <v>752</v>
      </c>
      <c r="B27" t="s">
        <v>1380</v>
      </c>
      <c r="C27" s="26">
        <v>-1.79</v>
      </c>
      <c r="D27" s="50">
        <v>2.589</v>
      </c>
      <c r="E27" s="5">
        <v>4.9009999999999998</v>
      </c>
      <c r="F27" s="1" t="str">
        <f>HYPERLINK("http://www.ncbi.nlm.nih.gov/pubmed/?term=Nfasc","Nfasc")</f>
        <v>Nfasc</v>
      </c>
    </row>
    <row r="28" spans="1:6" x14ac:dyDescent="0.25">
      <c r="A28" t="s">
        <v>1200</v>
      </c>
      <c r="B28" t="s">
        <v>295</v>
      </c>
      <c r="C28" s="4">
        <v>1.873</v>
      </c>
      <c r="D28" s="4">
        <v>1.946</v>
      </c>
      <c r="E28" s="50">
        <v>3.484</v>
      </c>
      <c r="F28" s="1" t="str">
        <f>HYPERLINK("http://www.ncbi.nlm.nih.gov/pubmed/?term=Itgal","Itgal")</f>
        <v>Itgal</v>
      </c>
    </row>
    <row r="29" spans="1:6" x14ac:dyDescent="0.25">
      <c r="A29" t="s">
        <v>1593</v>
      </c>
      <c r="B29" t="s">
        <v>765</v>
      </c>
      <c r="C29" s="26">
        <v>-3.9449999999999998</v>
      </c>
      <c r="D29" s="50">
        <v>2.8140000000000001</v>
      </c>
      <c r="E29" s="5">
        <v>4.9539999999999997</v>
      </c>
      <c r="F29" s="1" t="str">
        <f>HYPERLINK("http://www.ncbi.nlm.nih.gov/pubmed/?term=Ntng2","Ntng2")</f>
        <v>Ntng2</v>
      </c>
    </row>
    <row r="30" spans="1:6" x14ac:dyDescent="0.25">
      <c r="A30" t="s">
        <v>1956</v>
      </c>
      <c r="B30" t="s">
        <v>1715</v>
      </c>
      <c r="C30" s="31">
        <v>5.9130000000000003</v>
      </c>
      <c r="D30" s="31">
        <v>5.9269999999999996</v>
      </c>
      <c r="E30" s="6">
        <v>8.0259999999999998</v>
      </c>
      <c r="F30" s="1" t="str">
        <f>HYPERLINK("http://www.ncbi.nlm.nih.gov/pubmed/?term=H2-DMb2","H2-DMb2")</f>
        <v>H2-DMb2</v>
      </c>
    </row>
    <row r="31" spans="1:6" x14ac:dyDescent="0.25">
      <c r="A31" t="s">
        <v>1578</v>
      </c>
      <c r="B31" t="s">
        <v>465</v>
      </c>
      <c r="C31" s="5">
        <v>4.6289999999999996</v>
      </c>
      <c r="D31" s="31">
        <v>6.3</v>
      </c>
      <c r="E31" s="35">
        <v>6.7530000000000001</v>
      </c>
      <c r="F31" s="1" t="str">
        <f>HYPERLINK("http://www.ncbi.nlm.nih.gov/pubmed/?term=F11r","F11r")</f>
        <v>F11r</v>
      </c>
    </row>
    <row r="32" spans="1:6" x14ac:dyDescent="0.25">
      <c r="A32" t="s">
        <v>1491</v>
      </c>
      <c r="B32" t="s">
        <v>1428</v>
      </c>
      <c r="C32" s="26">
        <v>-0.41930000000000001</v>
      </c>
      <c r="D32" s="4">
        <v>2.2890000000000001</v>
      </c>
      <c r="E32" s="35">
        <v>6.6079999999999997</v>
      </c>
      <c r="F32" s="1" t="str">
        <f>HYPERLINK("http://www.ncbi.nlm.nih.gov/pubmed/?term=H2-Ob","H2-Ob")</f>
        <v>H2-Ob</v>
      </c>
    </row>
    <row r="33" spans="1:6" x14ac:dyDescent="0.25">
      <c r="A33" t="s">
        <v>112</v>
      </c>
      <c r="B33" t="s">
        <v>1554</v>
      </c>
      <c r="C33" s="30">
        <v>0.80320000000000003</v>
      </c>
      <c r="D33" s="5">
        <v>5.2430000000000003</v>
      </c>
      <c r="E33" s="35">
        <v>7.34</v>
      </c>
      <c r="F33" s="1" t="str">
        <f>HYPERLINK("http://www.ncbi.nlm.nih.gov/pubmed/?term=Cldn4","Cldn4")</f>
        <v>Cldn4</v>
      </c>
    </row>
    <row r="34" spans="1:6" x14ac:dyDescent="0.25">
      <c r="A34" t="s">
        <v>1311</v>
      </c>
      <c r="B34" t="s">
        <v>1431</v>
      </c>
      <c r="C34" s="44">
        <v>4.4509999999999996</v>
      </c>
      <c r="D34" s="6">
        <v>8.4649999999999999</v>
      </c>
      <c r="E34" s="34">
        <v>8.5500000000000007</v>
      </c>
      <c r="F34" s="1" t="str">
        <f>HYPERLINK("http://www.ncbi.nlm.nih.gov/pubmed/?term=H2-Q7","H2-Q7")</f>
        <v>H2-Q7</v>
      </c>
    </row>
    <row r="35" spans="1:6" x14ac:dyDescent="0.25">
      <c r="A35" t="s">
        <v>1401</v>
      </c>
      <c r="B35" t="s">
        <v>591</v>
      </c>
      <c r="C35" s="49">
        <v>9.7219999999999995</v>
      </c>
      <c r="D35" s="49">
        <v>9.8309999999999995</v>
      </c>
      <c r="E35" s="43">
        <v>11.67</v>
      </c>
      <c r="F35" s="1" t="str">
        <f>HYPERLINK("http://www.ncbi.nlm.nih.gov/pubmed/?term=H2-Eb1","H2-Eb1")</f>
        <v>H2-Eb1</v>
      </c>
    </row>
    <row r="36" spans="1:6" x14ac:dyDescent="0.25">
      <c r="A36" t="s">
        <v>300</v>
      </c>
      <c r="B36" t="s">
        <v>809</v>
      </c>
      <c r="C36" s="34">
        <v>8.6720000000000006</v>
      </c>
      <c r="D36" s="49">
        <v>10.43</v>
      </c>
      <c r="E36" s="43">
        <v>10.72</v>
      </c>
      <c r="F36" s="1" t="str">
        <f>HYPERLINK("http://www.ncbi.nlm.nih.gov/pubmed/?term=H2-K1","H2-K1")</f>
        <v>H2-K1</v>
      </c>
    </row>
    <row r="37" spans="1:6" x14ac:dyDescent="0.25">
      <c r="A37" t="s">
        <v>216</v>
      </c>
      <c r="B37" t="s">
        <v>586</v>
      </c>
      <c r="C37" s="35">
        <v>6.7060000000000004</v>
      </c>
      <c r="D37" s="6">
        <v>7.649</v>
      </c>
      <c r="E37" s="6">
        <v>7.8150000000000004</v>
      </c>
      <c r="F37" s="1" t="str">
        <f>HYPERLINK("http://www.ncbi.nlm.nih.gov/pubmed/?term=H2-T23","H2-T23")</f>
        <v>H2-T23</v>
      </c>
    </row>
    <row r="38" spans="1:6" x14ac:dyDescent="0.25">
      <c r="A38" t="s">
        <v>2141</v>
      </c>
      <c r="B38" t="s">
        <v>157</v>
      </c>
      <c r="C38" s="4">
        <v>2.1930000000000001</v>
      </c>
      <c r="D38" s="44">
        <v>4.2409999999999997</v>
      </c>
      <c r="E38" s="5">
        <v>4.5410000000000004</v>
      </c>
      <c r="F38" s="1" t="str">
        <f>HYPERLINK("http://www.ncbi.nlm.nih.gov/pubmed/?term=H2-Q10","H2-Q10")</f>
        <v>H2-Q10</v>
      </c>
    </row>
    <row r="39" spans="1:6" x14ac:dyDescent="0.25">
      <c r="A39" t="s">
        <v>166</v>
      </c>
      <c r="B39" t="s">
        <v>1553</v>
      </c>
      <c r="C39" s="26">
        <v>-2.06</v>
      </c>
      <c r="D39" s="5">
        <v>4.6829999999999998</v>
      </c>
      <c r="E39" s="31">
        <v>5.657</v>
      </c>
      <c r="F39" s="1" t="str">
        <f>HYPERLINK("http://www.ncbi.nlm.nih.gov/pubmed/?term=Cldn3","Cldn3")</f>
        <v>Cldn3</v>
      </c>
    </row>
    <row r="40" spans="1:6" x14ac:dyDescent="0.25">
      <c r="A40" t="s">
        <v>247</v>
      </c>
      <c r="B40" t="s">
        <v>265</v>
      </c>
      <c r="C40" s="6">
        <v>8.1630000000000003</v>
      </c>
      <c r="D40" s="49">
        <v>10.1</v>
      </c>
      <c r="E40" s="49">
        <v>10.33</v>
      </c>
      <c r="F40" s="1" t="str">
        <f>HYPERLINK("http://www.ncbi.nlm.nih.gov/pubmed/?term=H2-D1","H2-D1")</f>
        <v>H2-D1</v>
      </c>
    </row>
    <row r="41" spans="1:6" x14ac:dyDescent="0.25">
      <c r="A41" t="s">
        <v>1647</v>
      </c>
      <c r="B41" t="s">
        <v>2128</v>
      </c>
      <c r="C41" s="26">
        <v>-0.96909999999999996</v>
      </c>
      <c r="D41" s="50">
        <v>2.597</v>
      </c>
      <c r="E41" s="35">
        <v>6.5759999999999996</v>
      </c>
      <c r="F41" s="1" t="str">
        <f>HYPERLINK("http://www.ncbi.nlm.nih.gov/pubmed/?term=Cd80","Cd80")</f>
        <v>Cd80</v>
      </c>
    </row>
    <row r="42" spans="1:6" x14ac:dyDescent="0.25">
      <c r="A42" t="s">
        <v>1504</v>
      </c>
      <c r="B42" t="s">
        <v>1434</v>
      </c>
      <c r="C42" s="50">
        <v>3.0409999999999999</v>
      </c>
      <c r="D42" s="44">
        <v>3.6920000000000002</v>
      </c>
      <c r="E42" s="44">
        <v>3.9689999999999999</v>
      </c>
      <c r="F42" s="1" t="str">
        <f>HYPERLINK("http://www.ncbi.nlm.nih.gov/pubmed/?term=H2-Q2","H2-Q2")</f>
        <v>H2-Q2</v>
      </c>
    </row>
    <row r="43" spans="1:6" x14ac:dyDescent="0.25">
      <c r="A43" t="s">
        <v>1978</v>
      </c>
      <c r="B43" t="s">
        <v>813</v>
      </c>
      <c r="C43" s="35">
        <v>6.7960000000000003</v>
      </c>
      <c r="D43" s="35">
        <v>7.45</v>
      </c>
      <c r="E43" s="31">
        <v>6.3970000000000002</v>
      </c>
      <c r="F43" s="1" t="str">
        <f>HYPERLINK("http://www.ncbi.nlm.nih.gov/pubmed/?term=Cdh1","Cdh1")</f>
        <v>Cdh1</v>
      </c>
    </row>
    <row r="44" spans="1:6" x14ac:dyDescent="0.25">
      <c r="A44" t="s">
        <v>1886</v>
      </c>
      <c r="B44" t="s">
        <v>290</v>
      </c>
      <c r="C44" s="31">
        <v>6.0250000000000004</v>
      </c>
      <c r="D44" s="31">
        <v>6.3129999999999997</v>
      </c>
      <c r="E44" s="5">
        <v>4.5629999999999997</v>
      </c>
      <c r="F44" s="1" t="str">
        <f>HYPERLINK("http://www.ncbi.nlm.nih.gov/pubmed/?term=Sdc4","Sdc4")</f>
        <v>Sdc4</v>
      </c>
    </row>
    <row r="45" spans="1:6" x14ac:dyDescent="0.25">
      <c r="A45" t="s">
        <v>1090</v>
      </c>
      <c r="B45" t="s">
        <v>289</v>
      </c>
      <c r="C45" s="50">
        <v>3.177</v>
      </c>
      <c r="D45" s="5">
        <v>5.431</v>
      </c>
      <c r="E45" s="4">
        <v>2.2440000000000002</v>
      </c>
      <c r="F45" s="1" t="str">
        <f>HYPERLINK("http://www.ncbi.nlm.nih.gov/pubmed/?term=Sdc3","Sdc3")</f>
        <v>Sdc3</v>
      </c>
    </row>
    <row r="46" spans="1:6" x14ac:dyDescent="0.25">
      <c r="A46" t="s">
        <v>1472</v>
      </c>
      <c r="B46" t="s">
        <v>1283</v>
      </c>
      <c r="C46" s="31">
        <v>5.843</v>
      </c>
      <c r="D46" s="31">
        <v>6.17</v>
      </c>
      <c r="E46" s="44">
        <v>4.2889999999999997</v>
      </c>
      <c r="F46" s="1" t="str">
        <f>HYPERLINK("http://www.ncbi.nlm.nih.gov/pubmed/?term=Ptprf","Ptprf")</f>
        <v>Ptprf</v>
      </c>
    </row>
    <row r="47" spans="1:6" x14ac:dyDescent="0.25">
      <c r="A47" t="s">
        <v>846</v>
      </c>
      <c r="B47" t="s">
        <v>2071</v>
      </c>
      <c r="C47" s="44">
        <v>3.79</v>
      </c>
      <c r="D47" s="26">
        <v>0.25290000000000001</v>
      </c>
      <c r="E47" s="26">
        <v>-1.006</v>
      </c>
      <c r="F47" s="1" t="str">
        <f>HYPERLINK("http://www.ncbi.nlm.nih.gov/pubmed/?term=Itgb7","Itgb7")</f>
        <v>Itgb7</v>
      </c>
    </row>
    <row r="48" spans="1:6" x14ac:dyDescent="0.25">
      <c r="A48" t="s">
        <v>2051</v>
      </c>
      <c r="B48" t="s">
        <v>403</v>
      </c>
      <c r="C48" s="44">
        <v>3.5569999999999999</v>
      </c>
      <c r="D48" s="30">
        <v>1.1379999999999999</v>
      </c>
      <c r="E48" s="26">
        <v>-1.472</v>
      </c>
      <c r="F48" s="1" t="str">
        <f>HYPERLINK("http://www.ncbi.nlm.nih.gov/pubmed/?term=Cd34","Cd34")</f>
        <v>Cd34</v>
      </c>
    </row>
    <row r="49" spans="1:6" x14ac:dyDescent="0.25">
      <c r="A49" t="s">
        <v>413</v>
      </c>
      <c r="B49" t="s">
        <v>571</v>
      </c>
      <c r="C49" s="44">
        <v>3.6440000000000001</v>
      </c>
      <c r="D49" s="4">
        <v>2.0840000000000001</v>
      </c>
      <c r="E49" s="26">
        <v>-0.11409999999999999</v>
      </c>
      <c r="F49" s="1" t="str">
        <f>HYPERLINK("http://www.ncbi.nlm.nih.gov/pubmed/?term=Ptprc","Ptprc")</f>
        <v>Ptprc</v>
      </c>
    </row>
    <row r="50" spans="1:6" x14ac:dyDescent="0.25">
      <c r="A50" t="s">
        <v>248</v>
      </c>
      <c r="B50" t="s">
        <v>2083</v>
      </c>
      <c r="C50" s="44">
        <v>4.0190000000000001</v>
      </c>
      <c r="D50" s="44">
        <v>3.68</v>
      </c>
      <c r="E50" s="50">
        <v>2.669</v>
      </c>
      <c r="F50" s="1" t="str">
        <f>HYPERLINK("http://www.ncbi.nlm.nih.gov/pubmed/?term=Mpzl1","Mpzl1")</f>
        <v>Mpzl1</v>
      </c>
    </row>
    <row r="51" spans="1:6" x14ac:dyDescent="0.25">
      <c r="A51" t="s">
        <v>1193</v>
      </c>
      <c r="B51" t="s">
        <v>1547</v>
      </c>
      <c r="C51" s="44">
        <v>3.714</v>
      </c>
      <c r="D51" s="26">
        <v>0.17949999999999999</v>
      </c>
      <c r="E51" s="26">
        <v>-2.9609999999999999</v>
      </c>
      <c r="F51" s="1" t="str">
        <f>HYPERLINK("http://www.ncbi.nlm.nih.gov/pubmed/?term=Cldn8","Cldn8")</f>
        <v>Cldn8</v>
      </c>
    </row>
    <row r="52" spans="1:6" x14ac:dyDescent="0.25">
      <c r="A52" t="s">
        <v>1668</v>
      </c>
      <c r="B52" t="s">
        <v>512</v>
      </c>
      <c r="C52" s="44">
        <v>3.569</v>
      </c>
      <c r="D52" s="50">
        <v>3.012</v>
      </c>
      <c r="E52" s="26">
        <v>0.1086</v>
      </c>
      <c r="F52" s="1" t="str">
        <f>HYPERLINK("http://www.ncbi.nlm.nih.gov/pubmed/?term=Nlgn2","Nlgn2")</f>
        <v>Nlgn2</v>
      </c>
    </row>
    <row r="53" spans="1:6" x14ac:dyDescent="0.25">
      <c r="A53" t="s">
        <v>1767</v>
      </c>
      <c r="B53" t="s">
        <v>100</v>
      </c>
      <c r="C53" s="44">
        <v>4.1340000000000003</v>
      </c>
      <c r="D53" s="26">
        <v>-0.39410000000000001</v>
      </c>
      <c r="E53" s="26">
        <v>-0.43059999999999998</v>
      </c>
      <c r="F53" s="1" t="str">
        <f>HYPERLINK("http://www.ncbi.nlm.nih.gov/pubmed/?term=Cd8b1","Cd8b1")</f>
        <v>Cd8b1</v>
      </c>
    </row>
    <row r="54" spans="1:6" x14ac:dyDescent="0.25">
      <c r="A54" t="s">
        <v>1437</v>
      </c>
      <c r="B54" t="s">
        <v>1636</v>
      </c>
      <c r="C54" s="44">
        <v>4.1340000000000003</v>
      </c>
      <c r="D54" s="26">
        <v>0.40960000000000002</v>
      </c>
      <c r="E54" s="26">
        <v>5.8040000000000001E-2</v>
      </c>
      <c r="F54" s="1" t="str">
        <f>HYPERLINK("http://www.ncbi.nlm.nih.gov/pubmed/?term=Cd8a","Cd8a")</f>
        <v>Cd8a</v>
      </c>
    </row>
    <row r="55" spans="1:6" x14ac:dyDescent="0.25">
      <c r="A55" t="s">
        <v>1128</v>
      </c>
      <c r="B55" t="s">
        <v>814</v>
      </c>
      <c r="C55" s="5">
        <v>5.3220000000000001</v>
      </c>
      <c r="D55" s="5">
        <v>5.17</v>
      </c>
      <c r="E55" s="50">
        <v>2.9260000000000002</v>
      </c>
      <c r="F55" s="1" t="str">
        <f>HYPERLINK("http://www.ncbi.nlm.nih.gov/pubmed/?term=Cdh3","Cdh3")</f>
        <v>Cdh3</v>
      </c>
    </row>
    <row r="56" spans="1:6" x14ac:dyDescent="0.25">
      <c r="A56" t="s">
        <v>1345</v>
      </c>
      <c r="B56" t="s">
        <v>513</v>
      </c>
      <c r="C56" s="44">
        <v>3.8730000000000002</v>
      </c>
      <c r="D56" s="30">
        <v>1.4510000000000001</v>
      </c>
      <c r="E56" s="30">
        <v>0.76049999999999995</v>
      </c>
      <c r="F56" s="1" t="str">
        <f>HYPERLINK("http://www.ncbi.nlm.nih.gov/pubmed/?term=Nlgn1","Nlgn1")</f>
        <v>Nlgn1</v>
      </c>
    </row>
    <row r="57" spans="1:6" x14ac:dyDescent="0.25">
      <c r="A57" t="s">
        <v>1753</v>
      </c>
      <c r="B57" t="s">
        <v>252</v>
      </c>
      <c r="C57" s="5">
        <v>4.8380000000000001</v>
      </c>
      <c r="D57" s="5">
        <v>4.8330000000000002</v>
      </c>
      <c r="E57" s="35">
        <v>7.3019999999999996</v>
      </c>
      <c r="F57" s="1" t="str">
        <f>HYPERLINK("http://www.ncbi.nlm.nih.gov/pubmed/?term=Cd40","Cd40")</f>
        <v>Cd40</v>
      </c>
    </row>
    <row r="58" spans="1:6" x14ac:dyDescent="0.25">
      <c r="A58" t="s">
        <v>1324</v>
      </c>
      <c r="B58" t="s">
        <v>1429</v>
      </c>
      <c r="C58" s="5">
        <v>5.2809999999999997</v>
      </c>
      <c r="D58" s="5">
        <v>5.2389999999999999</v>
      </c>
      <c r="E58" s="6">
        <v>8.2189999999999994</v>
      </c>
      <c r="F58" s="1" t="str">
        <f>HYPERLINK("http://www.ncbi.nlm.nih.gov/pubmed/?term=H2-Oa","H2-Oa")</f>
        <v>H2-Oa</v>
      </c>
    </row>
    <row r="59" spans="1:6" x14ac:dyDescent="0.25">
      <c r="A59" t="s">
        <v>566</v>
      </c>
      <c r="B59" t="s">
        <v>727</v>
      </c>
      <c r="C59" s="26">
        <v>-0.22</v>
      </c>
      <c r="D59" s="26">
        <v>-1.9410000000000001</v>
      </c>
      <c r="E59" s="5">
        <v>5.1689999999999996</v>
      </c>
      <c r="F59" s="1" t="str">
        <f>HYPERLINK("http://www.ncbi.nlm.nih.gov/pubmed/?term=Ctla4","Ctla4")</f>
        <v>Ctla4</v>
      </c>
    </row>
    <row r="60" spans="1:6" x14ac:dyDescent="0.25">
      <c r="A60" t="s">
        <v>481</v>
      </c>
      <c r="B60" t="s">
        <v>808</v>
      </c>
      <c r="C60" s="44">
        <v>4.2240000000000002</v>
      </c>
      <c r="D60" s="44">
        <v>3.6859999999999999</v>
      </c>
      <c r="E60" s="5">
        <v>4.9390000000000001</v>
      </c>
      <c r="F60" s="1" t="str">
        <f>HYPERLINK("http://www.ncbi.nlm.nih.gov/pubmed/?term=Cadm1","Cadm1")</f>
        <v>Cadm1</v>
      </c>
    </row>
    <row r="61" spans="1:6" x14ac:dyDescent="0.25">
      <c r="A61" t="s">
        <v>528</v>
      </c>
      <c r="B61" t="s">
        <v>1739</v>
      </c>
      <c r="C61" s="49">
        <v>10.41</v>
      </c>
      <c r="D61" s="49">
        <v>10.1</v>
      </c>
      <c r="E61" s="43">
        <v>12.37</v>
      </c>
      <c r="F61" s="1" t="str">
        <f>HYPERLINK("http://www.ncbi.nlm.nih.gov/pubmed/?term=H2-Aa","H2-Aa")</f>
        <v>H2-Aa</v>
      </c>
    </row>
    <row r="62" spans="1:6" x14ac:dyDescent="0.25">
      <c r="A62" t="s">
        <v>546</v>
      </c>
      <c r="B62" t="s">
        <v>647</v>
      </c>
      <c r="C62" s="35">
        <v>7.0970000000000004</v>
      </c>
      <c r="D62" s="35">
        <v>6.6790000000000003</v>
      </c>
      <c r="E62" s="34">
        <v>8.57</v>
      </c>
      <c r="F62" s="1" t="str">
        <f>HYPERLINK("http://www.ncbi.nlm.nih.gov/pubmed/?term=Icam1","Icam1")</f>
        <v>Icam1</v>
      </c>
    </row>
    <row r="63" spans="1:6" x14ac:dyDescent="0.25">
      <c r="A63" t="s">
        <v>1974</v>
      </c>
      <c r="B63" t="s">
        <v>1270</v>
      </c>
      <c r="C63" s="43">
        <v>10.67</v>
      </c>
      <c r="D63" s="49">
        <v>10.31</v>
      </c>
      <c r="E63" s="43">
        <v>12.36</v>
      </c>
      <c r="F63" s="1" t="str">
        <f>HYPERLINK("http://www.ncbi.nlm.nih.gov/pubmed/?term=H2-Ab1","H2-Ab1")</f>
        <v>H2-Ab1</v>
      </c>
    </row>
    <row r="64" spans="1:6" x14ac:dyDescent="0.25">
      <c r="A64" t="s">
        <v>1468</v>
      </c>
      <c r="B64" t="s">
        <v>1716</v>
      </c>
      <c r="C64" s="5">
        <v>5.3959999999999999</v>
      </c>
      <c r="D64" s="5">
        <v>5.0060000000000002</v>
      </c>
      <c r="E64" s="35">
        <v>6.9</v>
      </c>
      <c r="F64" s="1" t="str">
        <f>HYPERLINK("http://www.ncbi.nlm.nih.gov/pubmed/?term=H2-DMb1","H2-DMb1")</f>
        <v>H2-DMb1</v>
      </c>
    </row>
    <row r="65" spans="1:6" x14ac:dyDescent="0.25">
      <c r="A65" t="s">
        <v>1660</v>
      </c>
      <c r="B65" t="s">
        <v>2069</v>
      </c>
      <c r="C65" s="44">
        <v>3.8090000000000002</v>
      </c>
      <c r="D65" s="26">
        <v>-1.27</v>
      </c>
      <c r="E65" s="26">
        <v>-1.117</v>
      </c>
      <c r="F65" s="1" t="str">
        <f>HYPERLINK("http://www.ncbi.nlm.nih.gov/pubmed/?term=Itgb2","Itgb2")</f>
        <v>Itgb2</v>
      </c>
    </row>
    <row r="66" spans="1:6" x14ac:dyDescent="0.25">
      <c r="A66" t="s">
        <v>1980</v>
      </c>
      <c r="B66" t="s">
        <v>429</v>
      </c>
      <c r="C66" s="35">
        <v>6.5129999999999999</v>
      </c>
      <c r="D66" s="30">
        <v>0.82089999999999996</v>
      </c>
      <c r="E66" s="4">
        <v>2.0779999999999998</v>
      </c>
      <c r="F66" s="1" t="str">
        <f>HYPERLINK("http://www.ncbi.nlm.nih.gov/pubmed/?term=Cdh4","Cdh4")</f>
        <v>Cdh4</v>
      </c>
    </row>
    <row r="67" spans="1:6" x14ac:dyDescent="0.25">
      <c r="A67" t="s">
        <v>2049</v>
      </c>
      <c r="B67" t="s">
        <v>177</v>
      </c>
      <c r="C67" s="35">
        <v>7.47</v>
      </c>
      <c r="D67" s="5">
        <v>4.8570000000000002</v>
      </c>
      <c r="E67" s="5">
        <v>5.4359999999999999</v>
      </c>
      <c r="F67" s="1" t="str">
        <f>HYPERLINK("http://www.ncbi.nlm.nih.gov/pubmed/?term=Cd274","Cd274")</f>
        <v>Cd274</v>
      </c>
    </row>
    <row r="68" spans="1:6" x14ac:dyDescent="0.25">
      <c r="A68" t="s">
        <v>750</v>
      </c>
      <c r="B68" t="s">
        <v>1672</v>
      </c>
      <c r="C68" s="6">
        <v>7.5629999999999997</v>
      </c>
      <c r="D68" s="5">
        <v>5.4039999999999999</v>
      </c>
      <c r="E68" s="31">
        <v>6.3869999999999996</v>
      </c>
      <c r="F68" s="1" t="str">
        <f>HYPERLINK("http://www.ncbi.nlm.nih.gov/pubmed/?term=Alcam","Alcam")</f>
        <v>Alcam</v>
      </c>
    </row>
    <row r="69" spans="1:6" x14ac:dyDescent="0.25">
      <c r="A69" t="s">
        <v>710</v>
      </c>
      <c r="B69" t="s">
        <v>371</v>
      </c>
      <c r="C69" s="44">
        <v>3.7050000000000001</v>
      </c>
      <c r="D69" s="26">
        <v>-8.745E-2</v>
      </c>
      <c r="E69" s="50">
        <v>2.52</v>
      </c>
      <c r="F69" s="1" t="str">
        <f>HYPERLINK("http://www.ncbi.nlm.nih.gov/pubmed/?term=Cd4","Cd4")</f>
        <v>Cd4</v>
      </c>
    </row>
    <row r="70" spans="1:6" x14ac:dyDescent="0.25">
      <c r="A70" t="s">
        <v>1562</v>
      </c>
      <c r="B70" t="s">
        <v>484</v>
      </c>
      <c r="C70" s="6">
        <v>7.5010000000000003</v>
      </c>
      <c r="D70" s="31">
        <v>6.391</v>
      </c>
      <c r="E70" s="35">
        <v>6.5460000000000003</v>
      </c>
      <c r="F70" s="1" t="str">
        <f>HYPERLINK("http://www.ncbi.nlm.nih.gov/pubmed/?term=Vcam1","Vcam1")</f>
        <v>Vcam1</v>
      </c>
    </row>
    <row r="71" spans="1:6" x14ac:dyDescent="0.25">
      <c r="A71" t="s">
        <v>865</v>
      </c>
      <c r="B71" t="s">
        <v>1044</v>
      </c>
      <c r="C71" s="35">
        <v>6.5350000000000001</v>
      </c>
      <c r="D71" s="5">
        <v>4.9409999999999998</v>
      </c>
      <c r="E71" s="31">
        <v>6.3239999999999998</v>
      </c>
      <c r="F71" s="1" t="str">
        <f>HYPERLINK("http://www.ncbi.nlm.nih.gov/pubmed/?term=H2-DMa","H2-DMa")</f>
        <v>H2-DMa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1658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854</v>
      </c>
      <c r="B5" t="s">
        <v>1924</v>
      </c>
      <c r="C5" s="26">
        <v>-2.8159999999999998</v>
      </c>
      <c r="D5" s="3">
        <v>4.1749999999999998</v>
      </c>
      <c r="E5" s="22">
        <v>2.7890000000000001</v>
      </c>
      <c r="F5" s="1" t="str">
        <f>HYPERLINK("http://www.ncbi.nlm.nih.gov/pubmed/?term=Fut2","Fut2")</f>
        <v>Fut2</v>
      </c>
    </row>
    <row r="6" spans="1:6" x14ac:dyDescent="0.25">
      <c r="A6" t="s">
        <v>1414</v>
      </c>
      <c r="B6" t="s">
        <v>1925</v>
      </c>
      <c r="C6" s="41">
        <v>2.2810000000000001</v>
      </c>
      <c r="D6" s="3">
        <v>4.4290000000000003</v>
      </c>
      <c r="E6" s="16">
        <v>5.3029999999999999</v>
      </c>
      <c r="F6" s="1" t="str">
        <f>HYPERLINK("http://www.ncbi.nlm.nih.gov/pubmed/?term=Fut1","Fut1")</f>
        <v>Fut1</v>
      </c>
    </row>
    <row r="7" spans="1:6" x14ac:dyDescent="0.25">
      <c r="A7" t="s">
        <v>1076</v>
      </c>
      <c r="B7" t="s">
        <v>2096</v>
      </c>
      <c r="C7" s="26">
        <v>-3.3690000000000002</v>
      </c>
      <c r="D7" s="21">
        <v>1.4770000000000001</v>
      </c>
      <c r="E7" s="22">
        <v>3.4</v>
      </c>
      <c r="F7" s="1" t="str">
        <f>HYPERLINK("http://www.ncbi.nlm.nih.gov/pubmed/?term=A4galt","A4galt")</f>
        <v>A4galt</v>
      </c>
    </row>
    <row r="8" spans="1:6" x14ac:dyDescent="0.25">
      <c r="A8" t="s">
        <v>1241</v>
      </c>
      <c r="B8" t="s">
        <v>1698</v>
      </c>
      <c r="C8" s="43">
        <v>7.077</v>
      </c>
      <c r="D8" s="43">
        <v>5.8869999999999996</v>
      </c>
      <c r="E8" s="3">
        <v>4.28</v>
      </c>
      <c r="F8" s="1" t="str">
        <f>HYPERLINK("http://www.ncbi.nlm.nih.gov/pubmed/?term=Hexb","Hexb")</f>
        <v>Hexb</v>
      </c>
    </row>
    <row r="9" spans="1:6" x14ac:dyDescent="0.25">
      <c r="A9" t="s">
        <v>246</v>
      </c>
      <c r="B9" t="s">
        <v>490</v>
      </c>
      <c r="C9" s="3">
        <v>3.55</v>
      </c>
      <c r="D9" s="3">
        <v>3.532</v>
      </c>
      <c r="E9" s="21">
        <v>1.4039999999999999</v>
      </c>
      <c r="F9" s="1" t="str">
        <f>HYPERLINK("http://www.ncbi.nlm.nih.gov/pubmed/?term=St3gal2","St3gal2")</f>
        <v>St3gal2</v>
      </c>
    </row>
    <row r="10" spans="1:6" x14ac:dyDescent="0.25">
      <c r="A10" t="s">
        <v>622</v>
      </c>
      <c r="B10" t="s">
        <v>1042</v>
      </c>
      <c r="C10" s="3">
        <v>3.9249999999999998</v>
      </c>
      <c r="D10" s="22">
        <v>2.8980000000000001</v>
      </c>
      <c r="E10" s="41">
        <v>1.6</v>
      </c>
      <c r="F10" s="1" t="str">
        <f>HYPERLINK("http://www.ncbi.nlm.nih.gov/pubmed/?term=B3galnt1","B3galnt1")</f>
        <v>B3galnt1</v>
      </c>
    </row>
    <row r="11" spans="1:6" x14ac:dyDescent="0.25">
      <c r="A11" t="s">
        <v>1315</v>
      </c>
      <c r="B11" t="s">
        <v>941</v>
      </c>
      <c r="C11" s="3">
        <v>3.85</v>
      </c>
      <c r="D11" s="22">
        <v>2.8780000000000001</v>
      </c>
      <c r="E11" s="43">
        <v>5.7990000000000004</v>
      </c>
      <c r="F11" s="1" t="str">
        <f>HYPERLINK("http://www.ncbi.nlm.nih.gov/pubmed/?term=B3galt5","B3galt5")</f>
        <v>B3galt5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2004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1174</v>
      </c>
      <c r="B5" t="s">
        <v>1559</v>
      </c>
      <c r="C5" s="36">
        <v>2.3959999999999999</v>
      </c>
      <c r="D5" s="42">
        <v>3.7170000000000001</v>
      </c>
      <c r="E5" s="47">
        <v>2.9279999999999999</v>
      </c>
      <c r="F5" s="1" t="str">
        <f>HYPERLINK("http://www.ncbi.nlm.nih.gov/pubmed/?term=Smpd1","Smpd1")</f>
        <v>Smpd1</v>
      </c>
    </row>
    <row r="6" spans="1:6" x14ac:dyDescent="0.25">
      <c r="A6" t="s">
        <v>1080</v>
      </c>
      <c r="B6" t="s">
        <v>43</v>
      </c>
      <c r="C6" s="14">
        <v>0.56659999999999999</v>
      </c>
      <c r="D6" s="42">
        <v>3.5830000000000002</v>
      </c>
      <c r="E6" s="47">
        <v>2.5880000000000001</v>
      </c>
      <c r="F6" s="1" t="str">
        <f>HYPERLINK("http://www.ncbi.nlm.nih.gov/pubmed/?term=Ppap2c","Ppap2c")</f>
        <v>Ppap2c</v>
      </c>
    </row>
    <row r="7" spans="1:6" x14ac:dyDescent="0.25">
      <c r="A7" t="s">
        <v>744</v>
      </c>
      <c r="B7" t="s">
        <v>1723</v>
      </c>
      <c r="C7" s="26">
        <v>-2.161</v>
      </c>
      <c r="D7" s="47">
        <v>3.45</v>
      </c>
      <c r="E7" s="36">
        <v>1.7789999999999999</v>
      </c>
      <c r="F7" s="1" t="str">
        <f>HYPERLINK("http://www.ncbi.nlm.nih.gov/pubmed/?term=B4galt6","B4galt6")</f>
        <v>B4galt6</v>
      </c>
    </row>
    <row r="8" spans="1:6" x14ac:dyDescent="0.25">
      <c r="A8" t="s">
        <v>1407</v>
      </c>
      <c r="B8" t="s">
        <v>136</v>
      </c>
      <c r="C8" s="27">
        <v>5.2690000000000001</v>
      </c>
      <c r="D8" s="28">
        <v>6.2679999999999998</v>
      </c>
      <c r="E8" s="43">
        <v>7.59</v>
      </c>
      <c r="F8" s="1" t="str">
        <f>HYPERLINK("http://www.ncbi.nlm.nih.gov/pubmed/?term=Sgpp1","Sgpp1")</f>
        <v>Sgpp1</v>
      </c>
    </row>
    <row r="9" spans="1:6" x14ac:dyDescent="0.25">
      <c r="A9" t="s">
        <v>553</v>
      </c>
      <c r="B9" t="s">
        <v>1496</v>
      </c>
      <c r="C9" s="36">
        <v>1.78</v>
      </c>
      <c r="D9" s="42">
        <v>4.0519999999999996</v>
      </c>
      <c r="E9" s="42">
        <v>4.4790000000000001</v>
      </c>
      <c r="F9" s="1" t="str">
        <f>HYPERLINK("http://www.ncbi.nlm.nih.gov/pubmed/?term=Smpd3","Smpd3")</f>
        <v>Smpd3</v>
      </c>
    </row>
    <row r="10" spans="1:6" x14ac:dyDescent="0.25">
      <c r="A10" t="s">
        <v>387</v>
      </c>
      <c r="B10" t="s">
        <v>152</v>
      </c>
      <c r="C10" s="42">
        <v>3.9369999999999998</v>
      </c>
      <c r="D10" s="14">
        <v>0.70450000000000002</v>
      </c>
      <c r="E10" s="26">
        <v>-1.4390000000000001</v>
      </c>
      <c r="F10" s="1" t="str">
        <f>HYPERLINK("http://www.ncbi.nlm.nih.gov/pubmed/?term=Lass3","Lass3")</f>
        <v>Lass3</v>
      </c>
    </row>
    <row r="11" spans="1:6" x14ac:dyDescent="0.25">
      <c r="A11" t="s">
        <v>382</v>
      </c>
      <c r="B11" t="s">
        <v>1112</v>
      </c>
      <c r="C11" s="27">
        <v>5.4329999999999998</v>
      </c>
      <c r="D11" s="42">
        <v>4.1429999999999998</v>
      </c>
      <c r="E11" s="42">
        <v>3.762</v>
      </c>
      <c r="F11" s="1" t="str">
        <f>HYPERLINK("http://www.ncbi.nlm.nih.gov/pubmed/?term=Asah1","Asah1")</f>
        <v>Asah1</v>
      </c>
    </row>
    <row r="12" spans="1:6" x14ac:dyDescent="0.25">
      <c r="A12" t="s">
        <v>394</v>
      </c>
      <c r="B12" t="s">
        <v>1075</v>
      </c>
      <c r="C12" s="27">
        <v>5.0599999999999996</v>
      </c>
      <c r="D12" s="42">
        <v>3.8170000000000002</v>
      </c>
      <c r="E12" s="47">
        <v>3.218</v>
      </c>
      <c r="F12" s="1" t="str">
        <f>HYPERLINK("http://www.ncbi.nlm.nih.gov/pubmed/?term=Degs1","Degs1")</f>
        <v>Degs1</v>
      </c>
    </row>
    <row r="13" spans="1:6" x14ac:dyDescent="0.25">
      <c r="A13" t="s">
        <v>676</v>
      </c>
      <c r="B13" t="s">
        <v>218</v>
      </c>
      <c r="C13" s="43">
        <v>8.42</v>
      </c>
      <c r="D13" s="43">
        <v>6.6920000000000002</v>
      </c>
      <c r="E13" s="43">
        <v>8.3780000000000001</v>
      </c>
      <c r="F13" s="1" t="str">
        <f>HYPERLINK("http://www.ncbi.nlm.nih.gov/pubmed/?term=Sgpl1","Sgpl1")</f>
        <v>Sgpl1</v>
      </c>
    </row>
    <row r="14" spans="1:6" x14ac:dyDescent="0.25">
      <c r="A14" t="s">
        <v>1734</v>
      </c>
      <c r="B14" t="s">
        <v>388</v>
      </c>
      <c r="C14" s="27">
        <v>4.6269999999999998</v>
      </c>
      <c r="D14" s="47">
        <v>2.9380000000000002</v>
      </c>
      <c r="E14" s="42">
        <v>4.28</v>
      </c>
      <c r="F14" s="1" t="str">
        <f>HYPERLINK("http://www.ncbi.nlm.nih.gov/pubmed/?term=Sphk1","Sphk1")</f>
        <v>Sphk1</v>
      </c>
    </row>
    <row r="15" spans="1:6" x14ac:dyDescent="0.25">
      <c r="A15" t="s">
        <v>1488</v>
      </c>
      <c r="B15" t="s">
        <v>117</v>
      </c>
      <c r="C15" s="42">
        <v>3.79</v>
      </c>
      <c r="D15" s="26">
        <v>-1.2430000000000001</v>
      </c>
      <c r="E15" s="36">
        <v>2.3570000000000002</v>
      </c>
      <c r="F15" s="1" t="str">
        <f>HYPERLINK("http://www.ncbi.nlm.nih.gov/pubmed/?term=Neu2","Neu2")</f>
        <v>Neu2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1285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1549</v>
      </c>
      <c r="B5" t="s">
        <v>1224</v>
      </c>
      <c r="C5" s="48">
        <v>2.0579999999999998</v>
      </c>
      <c r="D5" s="43">
        <v>5.0259999999999998</v>
      </c>
      <c r="E5" s="43">
        <v>4.8730000000000002</v>
      </c>
      <c r="F5" s="1" t="str">
        <f>HYPERLINK("http://www.ncbi.nlm.nih.gov/pubmed/?term=Pfkp","Pfkp")</f>
        <v>Pfkp</v>
      </c>
    </row>
    <row r="6" spans="1:6" x14ac:dyDescent="0.25">
      <c r="A6" t="s">
        <v>281</v>
      </c>
      <c r="B6" t="s">
        <v>640</v>
      </c>
      <c r="C6" s="48">
        <v>2.351</v>
      </c>
      <c r="D6" s="24">
        <v>3.8620000000000001</v>
      </c>
      <c r="E6" s="25">
        <v>3.319</v>
      </c>
      <c r="F6" s="1" t="str">
        <f>HYPERLINK("http://www.ncbi.nlm.nih.gov/pubmed/?term=B4galt1","B4galt1")</f>
        <v>B4galt1</v>
      </c>
    </row>
    <row r="7" spans="1:6" x14ac:dyDescent="0.25">
      <c r="A7" t="s">
        <v>1623</v>
      </c>
      <c r="B7" t="s">
        <v>2133</v>
      </c>
      <c r="C7" s="25">
        <v>3.3540000000000001</v>
      </c>
      <c r="D7" s="43">
        <v>4.5549999999999997</v>
      </c>
      <c r="E7" s="24">
        <v>4.3250000000000002</v>
      </c>
      <c r="F7" s="1" t="str">
        <f>HYPERLINK("http://www.ncbi.nlm.nih.gov/pubmed/?term=Galt","Galt")</f>
        <v>Galt</v>
      </c>
    </row>
    <row r="8" spans="1:6" x14ac:dyDescent="0.25">
      <c r="A8" t="s">
        <v>1955</v>
      </c>
      <c r="B8" t="s">
        <v>459</v>
      </c>
      <c r="C8" s="25">
        <v>2.879</v>
      </c>
      <c r="D8" s="43">
        <v>4.8049999999999997</v>
      </c>
      <c r="E8" s="24">
        <v>4.1870000000000003</v>
      </c>
      <c r="F8" s="1" t="str">
        <f>HYPERLINK("http://www.ncbi.nlm.nih.gov/pubmed/?term=Hk1","Hk1")</f>
        <v>Hk1</v>
      </c>
    </row>
    <row r="9" spans="1:6" x14ac:dyDescent="0.25">
      <c r="A9" t="s">
        <v>331</v>
      </c>
      <c r="B9" t="s">
        <v>211</v>
      </c>
      <c r="C9" s="25">
        <v>3.4790000000000001</v>
      </c>
      <c r="D9" s="48">
        <v>2.133</v>
      </c>
      <c r="E9" s="48">
        <v>2.081</v>
      </c>
      <c r="F9" s="1" t="str">
        <f>HYPERLINK("http://www.ncbi.nlm.nih.gov/pubmed/?term=Ganc","Ganc")</f>
        <v>Ganc</v>
      </c>
    </row>
    <row r="10" spans="1:6" x14ac:dyDescent="0.25">
      <c r="A10" t="s">
        <v>2059</v>
      </c>
      <c r="B10" t="s">
        <v>1207</v>
      </c>
      <c r="C10" s="43">
        <v>4.6120000000000001</v>
      </c>
      <c r="D10" s="25">
        <v>2.83</v>
      </c>
      <c r="E10" s="25">
        <v>3.0179999999999998</v>
      </c>
      <c r="F10" s="1" t="str">
        <f>HYPERLINK("http://www.ncbi.nlm.nih.gov/pubmed/?term=Galk1","Galk1")</f>
        <v>Galk1</v>
      </c>
    </row>
    <row r="11" spans="1:6" x14ac:dyDescent="0.25">
      <c r="A11" t="s">
        <v>1239</v>
      </c>
      <c r="B11" t="s">
        <v>412</v>
      </c>
      <c r="C11" s="43">
        <v>6.0289999999999999</v>
      </c>
      <c r="D11" s="43">
        <v>4.5380000000000003</v>
      </c>
      <c r="E11" s="43">
        <v>5.6740000000000004</v>
      </c>
      <c r="F11" s="1" t="str">
        <f>HYPERLINK("http://www.ncbi.nlm.nih.gov/pubmed/?term=Gaa","Gaa")</f>
        <v>Gaa</v>
      </c>
    </row>
    <row r="12" spans="1:6" x14ac:dyDescent="0.25">
      <c r="A12" t="s">
        <v>1836</v>
      </c>
      <c r="B12" t="s">
        <v>505</v>
      </c>
      <c r="C12" s="43">
        <v>5.3739999999999997</v>
      </c>
      <c r="D12" s="24">
        <v>4.2320000000000002</v>
      </c>
      <c r="E12" s="43">
        <v>5.367</v>
      </c>
      <c r="F12" s="1" t="str">
        <f>HYPERLINK("http://www.ncbi.nlm.nih.gov/pubmed/?term=Pgm2","Pgm2")</f>
        <v>Pgm2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869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390</v>
      </c>
      <c r="B5" t="s">
        <v>1712</v>
      </c>
      <c r="C5" s="3">
        <v>5.78</v>
      </c>
      <c r="D5" s="9">
        <v>6.601</v>
      </c>
      <c r="E5" s="39">
        <v>7.68</v>
      </c>
      <c r="F5" s="1" t="str">
        <f>HYPERLINK("http://www.ncbi.nlm.nih.gov/pubmed/?term=Stat3","Stat3")</f>
        <v>Stat3</v>
      </c>
    </row>
    <row r="6" spans="1:6" x14ac:dyDescent="0.25">
      <c r="A6" t="s">
        <v>656</v>
      </c>
      <c r="B6" t="s">
        <v>1049</v>
      </c>
      <c r="C6" s="26">
        <v>-1.929</v>
      </c>
      <c r="D6" s="8">
        <v>0.65049999999999997</v>
      </c>
      <c r="E6" s="15">
        <v>4.242</v>
      </c>
      <c r="F6" s="1" t="str">
        <f>HYPERLINK("http://www.ncbi.nlm.nih.gov/pubmed/?term=Tnf","Tnf")</f>
        <v>Tnf</v>
      </c>
    </row>
    <row r="7" spans="1:6" x14ac:dyDescent="0.25">
      <c r="A7" t="s">
        <v>192</v>
      </c>
      <c r="B7" t="s">
        <v>954</v>
      </c>
      <c r="C7" s="15">
        <v>4.3650000000000002</v>
      </c>
      <c r="D7" s="19">
        <v>4.8419999999999996</v>
      </c>
      <c r="E7" s="19">
        <v>5.452</v>
      </c>
      <c r="F7" s="1" t="str">
        <f>HYPERLINK("http://www.ncbi.nlm.nih.gov/pubmed/?term=Acsl5","Acsl5")</f>
        <v>Acsl5</v>
      </c>
    </row>
    <row r="8" spans="1:6" x14ac:dyDescent="0.25">
      <c r="A8" t="s">
        <v>577</v>
      </c>
      <c r="B8" t="s">
        <v>1318</v>
      </c>
      <c r="C8" s="15">
        <v>4.1280000000000001</v>
      </c>
      <c r="D8" s="15">
        <v>4.3479999999999999</v>
      </c>
      <c r="E8" s="19">
        <v>5.4850000000000003</v>
      </c>
      <c r="F8" s="1" t="str">
        <f>HYPERLINK("http://www.ncbi.nlm.nih.gov/pubmed/?term=Traf2","Traf2")</f>
        <v>Traf2</v>
      </c>
    </row>
    <row r="9" spans="1:6" x14ac:dyDescent="0.25">
      <c r="A9" t="s">
        <v>338</v>
      </c>
      <c r="B9" t="s">
        <v>573</v>
      </c>
      <c r="C9" s="26">
        <v>-2.6819999999999999</v>
      </c>
      <c r="D9" s="26">
        <v>-0.14799999999999999</v>
      </c>
      <c r="E9" s="19">
        <v>4.702</v>
      </c>
      <c r="F9" s="1" t="str">
        <f>HYPERLINK("http://www.ncbi.nlm.nih.gov/pubmed/?term=Pck1","Pck1")</f>
        <v>Pck1</v>
      </c>
    </row>
    <row r="10" spans="1:6" x14ac:dyDescent="0.25">
      <c r="A10" t="s">
        <v>441</v>
      </c>
      <c r="B10" t="s">
        <v>1931</v>
      </c>
      <c r="C10" s="41">
        <v>3.1080000000000001</v>
      </c>
      <c r="D10" s="15">
        <v>3.96</v>
      </c>
      <c r="E10" s="15">
        <v>4.4850000000000003</v>
      </c>
      <c r="F10" s="1" t="str">
        <f>HYPERLINK("http://www.ncbi.nlm.nih.gov/pubmed/?term=Slc2a1","Slc2a1")</f>
        <v>Slc2a1</v>
      </c>
    </row>
    <row r="11" spans="1:6" x14ac:dyDescent="0.25">
      <c r="A11" t="s">
        <v>1352</v>
      </c>
      <c r="B11" t="s">
        <v>2160</v>
      </c>
      <c r="C11" s="19">
        <v>4.5460000000000003</v>
      </c>
      <c r="D11" s="19">
        <v>4.9820000000000002</v>
      </c>
      <c r="E11" s="3">
        <v>6.2560000000000002</v>
      </c>
      <c r="F11" s="1" t="str">
        <f>HYPERLINK("http://www.ncbi.nlm.nih.gov/pubmed/?term=Ikbkb","Ikbkb")</f>
        <v>Ikbkb</v>
      </c>
    </row>
    <row r="12" spans="1:6" x14ac:dyDescent="0.25">
      <c r="A12" t="s">
        <v>635</v>
      </c>
      <c r="B12" t="s">
        <v>942</v>
      </c>
      <c r="C12" s="26">
        <v>-2.0369999999999999</v>
      </c>
      <c r="D12" s="41">
        <v>3.0670000000000002</v>
      </c>
      <c r="E12" s="19">
        <v>5.0910000000000002</v>
      </c>
      <c r="F12" s="1" t="str">
        <f>HYPERLINK("http://www.ncbi.nlm.nih.gov/pubmed/?term=Acacb","Acacb")</f>
        <v>Acacb</v>
      </c>
    </row>
    <row r="13" spans="1:6" x14ac:dyDescent="0.25">
      <c r="A13" t="s">
        <v>1751</v>
      </c>
      <c r="B13" t="s">
        <v>1930</v>
      </c>
      <c r="C13" s="41">
        <v>3.3719999999999999</v>
      </c>
      <c r="D13" s="15">
        <v>3.956</v>
      </c>
      <c r="E13" s="41">
        <v>2.8140000000000001</v>
      </c>
      <c r="F13" s="1" t="str">
        <f>HYPERLINK("http://www.ncbi.nlm.nih.gov/pubmed/?term=Slc2a4","Slc2a4")</f>
        <v>Slc2a4</v>
      </c>
    </row>
    <row r="14" spans="1:6" x14ac:dyDescent="0.25">
      <c r="A14" t="s">
        <v>1545</v>
      </c>
      <c r="B14" t="s">
        <v>953</v>
      </c>
      <c r="C14" s="15">
        <v>3.8</v>
      </c>
      <c r="D14" s="15">
        <v>4.3049999999999997</v>
      </c>
      <c r="E14" s="41">
        <v>2.8479999999999999</v>
      </c>
      <c r="F14" s="1" t="str">
        <f>HYPERLINK("http://www.ncbi.nlm.nih.gov/pubmed/?term=Acsl4","Acsl4")</f>
        <v>Acsl4</v>
      </c>
    </row>
    <row r="15" spans="1:6" x14ac:dyDescent="0.25">
      <c r="A15" t="s">
        <v>31</v>
      </c>
      <c r="B15" t="s">
        <v>400</v>
      </c>
      <c r="C15" s="15">
        <v>4.476</v>
      </c>
      <c r="D15" s="15">
        <v>3.5920000000000001</v>
      </c>
      <c r="E15" s="41">
        <v>3.4319999999999999</v>
      </c>
      <c r="F15" s="1" t="str">
        <f>HYPERLINK("http://www.ncbi.nlm.nih.gov/pubmed/?term=Mapk9","Mapk9")</f>
        <v>Mapk9</v>
      </c>
    </row>
    <row r="16" spans="1:6" x14ac:dyDescent="0.25">
      <c r="A16" t="s">
        <v>834</v>
      </c>
      <c r="B16" t="s">
        <v>1552</v>
      </c>
      <c r="C16" s="19">
        <v>4.516</v>
      </c>
      <c r="D16" s="15">
        <v>3.7549999999999999</v>
      </c>
      <c r="E16" s="41">
        <v>3.4649999999999999</v>
      </c>
      <c r="F16" s="1" t="str">
        <f>HYPERLINK("http://www.ncbi.nlm.nih.gov/pubmed/?term=Mapk8","Mapk8")</f>
        <v>Mapk8</v>
      </c>
    </row>
    <row r="17" spans="1:6" x14ac:dyDescent="0.25">
      <c r="A17" t="s">
        <v>1158</v>
      </c>
      <c r="B17" t="s">
        <v>1915</v>
      </c>
      <c r="C17" s="9">
        <v>6.7720000000000002</v>
      </c>
      <c r="D17" s="15">
        <v>4.4340000000000002</v>
      </c>
      <c r="E17" s="15">
        <v>3.823</v>
      </c>
      <c r="F17" s="1" t="str">
        <f>HYPERLINK("http://www.ncbi.nlm.nih.gov/pubmed/?term=Cpt1a","Cpt1a")</f>
        <v>Cpt1a</v>
      </c>
    </row>
    <row r="18" spans="1:6" x14ac:dyDescent="0.25">
      <c r="A18" t="s">
        <v>242</v>
      </c>
      <c r="B18" t="s">
        <v>997</v>
      </c>
      <c r="C18" s="3">
        <v>6.056</v>
      </c>
      <c r="D18" s="19">
        <v>5.3730000000000002</v>
      </c>
      <c r="E18" s="15">
        <v>4.3070000000000004</v>
      </c>
      <c r="F18" s="1" t="str">
        <f>HYPERLINK("http://www.ncbi.nlm.nih.gov/pubmed/?term=Tnfrsf1a","Tnfrsf1a")</f>
        <v>Tnfrsf1a</v>
      </c>
    </row>
    <row r="19" spans="1:6" x14ac:dyDescent="0.25">
      <c r="A19" t="s">
        <v>2009</v>
      </c>
      <c r="B19" t="s">
        <v>1150</v>
      </c>
      <c r="C19" s="15">
        <v>4.0460000000000003</v>
      </c>
      <c r="D19" s="37">
        <v>1.992</v>
      </c>
      <c r="E19" s="8">
        <v>0.97629999999999995</v>
      </c>
      <c r="F19" s="1" t="str">
        <f>HYPERLINK("http://www.ncbi.nlm.nih.gov/pubmed/?term=Prkab2","Prkab2")</f>
        <v>Prkab2</v>
      </c>
    </row>
    <row r="20" spans="1:6" x14ac:dyDescent="0.25">
      <c r="A20" t="s">
        <v>4</v>
      </c>
      <c r="B20" t="s">
        <v>1096</v>
      </c>
      <c r="C20" s="19">
        <v>5.1150000000000002</v>
      </c>
      <c r="D20" s="15">
        <v>3.7370000000000001</v>
      </c>
      <c r="E20" s="41">
        <v>3.4209999999999998</v>
      </c>
      <c r="F20" s="1" t="str">
        <f>HYPERLINK("http://www.ncbi.nlm.nih.gov/pubmed/?term=Irs2","Irs2")</f>
        <v>Irs2</v>
      </c>
    </row>
    <row r="21" spans="1:6" x14ac:dyDescent="0.25">
      <c r="A21" t="s">
        <v>2078</v>
      </c>
      <c r="B21" t="s">
        <v>1565</v>
      </c>
      <c r="C21" s="9">
        <v>7.383</v>
      </c>
      <c r="D21" s="9">
        <v>6.9610000000000003</v>
      </c>
      <c r="E21" s="19">
        <v>5.0860000000000003</v>
      </c>
      <c r="F21" s="1" t="str">
        <f>HYPERLINK("http://www.ncbi.nlm.nih.gov/pubmed/?term=Socs3","Socs3")</f>
        <v>Socs3</v>
      </c>
    </row>
    <row r="22" spans="1:6" x14ac:dyDescent="0.25">
      <c r="A22" t="s">
        <v>1852</v>
      </c>
      <c r="B22" t="s">
        <v>1070</v>
      </c>
      <c r="C22" s="39">
        <v>7.577</v>
      </c>
      <c r="D22" s="39">
        <v>7.5250000000000004</v>
      </c>
      <c r="E22" s="43">
        <v>9.6739999999999995</v>
      </c>
      <c r="F22" s="1" t="str">
        <f>HYPERLINK("http://www.ncbi.nlm.nih.gov/pubmed/?term=Nfkbia","Nfkbia")</f>
        <v>Nfkbia</v>
      </c>
    </row>
    <row r="23" spans="1:6" x14ac:dyDescent="0.25">
      <c r="A23" t="s">
        <v>2037</v>
      </c>
      <c r="B23" t="s">
        <v>1071</v>
      </c>
      <c r="C23" s="19">
        <v>5.2140000000000004</v>
      </c>
      <c r="D23" s="19">
        <v>5.157</v>
      </c>
      <c r="E23" s="3">
        <v>6.4509999999999996</v>
      </c>
      <c r="F23" s="1" t="str">
        <f>HYPERLINK("http://www.ncbi.nlm.nih.gov/pubmed/?term=Nfkbie","Nfkbie")</f>
        <v>Nfkbie</v>
      </c>
    </row>
    <row r="24" spans="1:6" x14ac:dyDescent="0.25">
      <c r="A24" t="s">
        <v>557</v>
      </c>
      <c r="B24" t="s">
        <v>1507</v>
      </c>
      <c r="C24" s="15">
        <v>4.2590000000000003</v>
      </c>
      <c r="D24" s="15">
        <v>4.05</v>
      </c>
      <c r="E24" s="3">
        <v>5.7720000000000002</v>
      </c>
      <c r="F24" s="1" t="str">
        <f>HYPERLINK("http://www.ncbi.nlm.nih.gov/pubmed/?term=Adipor2","Adipor2")</f>
        <v>Adipor2</v>
      </c>
    </row>
    <row r="25" spans="1:6" x14ac:dyDescent="0.25">
      <c r="A25" t="s">
        <v>1675</v>
      </c>
      <c r="B25" t="s">
        <v>1069</v>
      </c>
      <c r="C25" s="19">
        <v>4.6070000000000002</v>
      </c>
      <c r="D25" s="15">
        <v>3.927</v>
      </c>
      <c r="E25" s="19">
        <v>5.1689999999999996</v>
      </c>
      <c r="F25" s="1" t="str">
        <f>HYPERLINK("http://www.ncbi.nlm.nih.gov/pubmed/?term=Nfkbib","Nfkbib")</f>
        <v>Nfkbib</v>
      </c>
    </row>
    <row r="26" spans="1:6" x14ac:dyDescent="0.25">
      <c r="A26" t="s">
        <v>374</v>
      </c>
      <c r="B26" t="s">
        <v>1081</v>
      </c>
      <c r="C26" s="15">
        <v>4.33</v>
      </c>
      <c r="D26" s="37">
        <v>1.802</v>
      </c>
      <c r="E26" s="37">
        <v>2.2570000000000001</v>
      </c>
      <c r="F26" s="1" t="str">
        <f>HYPERLINK("http://www.ncbi.nlm.nih.gov/pubmed/?term=Prkcq","Prkcq")</f>
        <v>Prkcq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193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36">
        <v>2.2389999999999999</v>
      </c>
      <c r="D5" s="43">
        <v>7.0960000000000001</v>
      </c>
      <c r="E5" s="27">
        <v>5.49</v>
      </c>
      <c r="F5" s="1" t="str">
        <f>HYPERLINK("http://www.ncbi.nlm.nih.gov/pubmed/?term=Mapk13","Mapk13")</f>
        <v>Mapk13</v>
      </c>
    </row>
    <row r="6" spans="1:6" x14ac:dyDescent="0.25">
      <c r="A6" t="s">
        <v>2016</v>
      </c>
      <c r="B6" t="s">
        <v>1464</v>
      </c>
      <c r="C6" s="26">
        <v>-0.25159999999999999</v>
      </c>
      <c r="D6" s="27">
        <v>4.952</v>
      </c>
      <c r="E6" s="14">
        <v>0.69540000000000002</v>
      </c>
      <c r="F6" s="1" t="str">
        <f>HYPERLINK("http://www.ncbi.nlm.nih.gov/pubmed/?term=Pik3cg","Pik3cg")</f>
        <v>Pik3cg</v>
      </c>
    </row>
    <row r="7" spans="1:6" x14ac:dyDescent="0.25">
      <c r="A7" t="s">
        <v>1335</v>
      </c>
      <c r="B7" t="s">
        <v>1328</v>
      </c>
      <c r="C7" s="14">
        <v>0.53520000000000001</v>
      </c>
      <c r="D7" s="28">
        <v>5.8090000000000002</v>
      </c>
      <c r="E7" s="47">
        <v>2.5489999999999999</v>
      </c>
      <c r="F7" s="1" t="str">
        <f>HYPERLINK("http://www.ncbi.nlm.nih.gov/pubmed/?term=Pik3r5","Pik3r5")</f>
        <v>Pik3r5</v>
      </c>
    </row>
    <row r="8" spans="1:6" x14ac:dyDescent="0.25">
      <c r="A8" t="s">
        <v>1034</v>
      </c>
      <c r="B8" t="s">
        <v>1268</v>
      </c>
      <c r="C8" s="26">
        <v>0.43269999999999997</v>
      </c>
      <c r="D8" s="27">
        <v>4.952</v>
      </c>
      <c r="E8" s="42">
        <v>4.4619999999999997</v>
      </c>
      <c r="F8" s="1" t="str">
        <f>HYPERLINK("http://www.ncbi.nlm.nih.gov/pubmed/?term=Inpp5d","Inpp5d")</f>
        <v>Inpp5d</v>
      </c>
    </row>
    <row r="9" spans="1:6" x14ac:dyDescent="0.25">
      <c r="A9" t="s">
        <v>1828</v>
      </c>
      <c r="B9" t="s">
        <v>1532</v>
      </c>
      <c r="C9" s="36">
        <v>1.986</v>
      </c>
      <c r="D9" s="28">
        <v>5.7009999999999996</v>
      </c>
      <c r="E9" s="47">
        <v>2.6230000000000002</v>
      </c>
      <c r="F9" s="1" t="str">
        <f>HYPERLINK("http://www.ncbi.nlm.nih.gov/pubmed/?term=Vav1","Vav1")</f>
        <v>Vav1</v>
      </c>
    </row>
    <row r="10" spans="1:6" x14ac:dyDescent="0.25">
      <c r="A10" t="s">
        <v>276</v>
      </c>
      <c r="B10" t="s">
        <v>1181</v>
      </c>
      <c r="C10" s="47">
        <v>2.7959999999999998</v>
      </c>
      <c r="D10" s="27">
        <v>4.8380000000000001</v>
      </c>
      <c r="E10" s="47">
        <v>3.4089999999999998</v>
      </c>
      <c r="F10" s="1" t="str">
        <f>HYPERLINK("http://www.ncbi.nlm.nih.gov/pubmed/?term=Plcg2","Plcg2")</f>
        <v>Plcg2</v>
      </c>
    </row>
    <row r="11" spans="1:6" x14ac:dyDescent="0.25">
      <c r="A11" t="s">
        <v>1524</v>
      </c>
      <c r="B11" t="s">
        <v>1499</v>
      </c>
      <c r="C11" s="26">
        <v>-3.9929999999999999</v>
      </c>
      <c r="D11" s="26">
        <v>-2.68</v>
      </c>
      <c r="E11" s="47">
        <v>3.4220000000000002</v>
      </c>
      <c r="F11" s="1" t="str">
        <f>HYPERLINK("http://www.ncbi.nlm.nih.gov/pubmed/?term=Il4","Il4")</f>
        <v>Il4</v>
      </c>
    </row>
    <row r="12" spans="1:6" x14ac:dyDescent="0.25">
      <c r="A12" t="s">
        <v>421</v>
      </c>
      <c r="B12" t="s">
        <v>1535</v>
      </c>
      <c r="C12" s="36">
        <v>2.2810000000000001</v>
      </c>
      <c r="D12" s="47">
        <v>2.8679999999999999</v>
      </c>
      <c r="E12" s="42">
        <v>4.0170000000000003</v>
      </c>
      <c r="F12" s="1" t="str">
        <f>HYPERLINK("http://www.ncbi.nlm.nih.gov/pubmed/?term=Vav2","Vav2")</f>
        <v>Vav2</v>
      </c>
    </row>
    <row r="13" spans="1:6" x14ac:dyDescent="0.25">
      <c r="A13" t="s">
        <v>690</v>
      </c>
      <c r="B13" t="s">
        <v>930</v>
      </c>
      <c r="C13" s="26">
        <v>-1.9550000000000001</v>
      </c>
      <c r="D13" s="26">
        <v>0.14480000000000001</v>
      </c>
      <c r="E13" s="43">
        <v>7.7869999999999999</v>
      </c>
      <c r="F13" s="1" t="str">
        <f>HYPERLINK("http://www.ncbi.nlm.nih.gov/pubmed/?term=Il13","Il13")</f>
        <v>Il13</v>
      </c>
    </row>
    <row r="14" spans="1:6" x14ac:dyDescent="0.25">
      <c r="A14" t="s">
        <v>1599</v>
      </c>
      <c r="B14" t="s">
        <v>225</v>
      </c>
      <c r="C14" s="14">
        <v>0.73909999999999998</v>
      </c>
      <c r="D14" s="47">
        <v>3.1890000000000001</v>
      </c>
      <c r="E14" s="27">
        <v>4.5190000000000001</v>
      </c>
      <c r="F14" s="1" t="str">
        <f>HYPERLINK("http://www.ncbi.nlm.nih.gov/pubmed/?term=Syk","Syk")</f>
        <v>Syk</v>
      </c>
    </row>
    <row r="15" spans="1:6" x14ac:dyDescent="0.25">
      <c r="A15" t="s">
        <v>656</v>
      </c>
      <c r="B15" t="s">
        <v>1049</v>
      </c>
      <c r="C15" s="26">
        <v>-1.929</v>
      </c>
      <c r="D15" s="14">
        <v>0.65049999999999997</v>
      </c>
      <c r="E15" s="42">
        <v>4.242</v>
      </c>
      <c r="F15" s="1" t="str">
        <f>HYPERLINK("http://www.ncbi.nlm.nih.gov/pubmed/?term=Tnf","Tnf")</f>
        <v>Tnf</v>
      </c>
    </row>
    <row r="16" spans="1:6" x14ac:dyDescent="0.25">
      <c r="A16" t="s">
        <v>2023</v>
      </c>
      <c r="B16" t="s">
        <v>897</v>
      </c>
      <c r="C16" s="42">
        <v>4.37</v>
      </c>
      <c r="D16" s="27">
        <v>5.0970000000000004</v>
      </c>
      <c r="E16" s="27">
        <v>5.4119999999999999</v>
      </c>
      <c r="F16" s="1" t="str">
        <f>HYPERLINK("http://www.ncbi.nlm.nih.gov/pubmed/?term=Hras1","Hras1")</f>
        <v>Hras1</v>
      </c>
    </row>
    <row r="17" spans="1:6" x14ac:dyDescent="0.25">
      <c r="A17" t="s">
        <v>333</v>
      </c>
      <c r="B17" t="s">
        <v>1460</v>
      </c>
      <c r="C17" s="26">
        <v>0.44829999999999998</v>
      </c>
      <c r="D17" s="36">
        <v>2.1360000000000001</v>
      </c>
      <c r="E17" s="42">
        <v>3.8809999999999998</v>
      </c>
      <c r="F17" s="1" t="str">
        <f>HYPERLINK("http://www.ncbi.nlm.nih.gov/pubmed/?term=Pik3cb","Pik3cb")</f>
        <v>Pik3cb</v>
      </c>
    </row>
    <row r="18" spans="1:6" x14ac:dyDescent="0.25">
      <c r="A18" t="s">
        <v>674</v>
      </c>
      <c r="B18" t="s">
        <v>1949</v>
      </c>
      <c r="C18" s="47">
        <v>2.6110000000000002</v>
      </c>
      <c r="D18" s="42">
        <v>4.2789999999999999</v>
      </c>
      <c r="E18" s="43">
        <v>6.8239999999999998</v>
      </c>
      <c r="F18" s="1" t="str">
        <f>HYPERLINK("http://www.ncbi.nlm.nih.gov/pubmed/?term=Rac2","Rac2")</f>
        <v>Rac2</v>
      </c>
    </row>
    <row r="19" spans="1:6" x14ac:dyDescent="0.25">
      <c r="A19" t="s">
        <v>1116</v>
      </c>
      <c r="B19" t="s">
        <v>432</v>
      </c>
      <c r="C19" s="14">
        <v>1.321</v>
      </c>
      <c r="D19" s="47">
        <v>3.4740000000000002</v>
      </c>
      <c r="E19" s="42">
        <v>3.508</v>
      </c>
      <c r="F19" s="1" t="str">
        <f>HYPERLINK("http://www.ncbi.nlm.nih.gov/pubmed/?term=Lyn","Lyn")</f>
        <v>Lyn</v>
      </c>
    </row>
    <row r="20" spans="1:6" x14ac:dyDescent="0.25">
      <c r="A20" t="s">
        <v>909</v>
      </c>
      <c r="B20" t="s">
        <v>1766</v>
      </c>
      <c r="C20" s="14">
        <v>1.18</v>
      </c>
      <c r="D20" s="42">
        <v>4.4390000000000001</v>
      </c>
      <c r="E20" s="28">
        <v>6.1040000000000001</v>
      </c>
      <c r="F20" s="1" t="str">
        <f>HYPERLINK("http://www.ncbi.nlm.nih.gov/pubmed/?term=Pla2g4a","Pla2g4a")</f>
        <v>Pla2g4a</v>
      </c>
    </row>
    <row r="21" spans="1:6" x14ac:dyDescent="0.25">
      <c r="A21" t="s">
        <v>222</v>
      </c>
      <c r="B21" t="s">
        <v>791</v>
      </c>
      <c r="C21" s="26">
        <v>-1.3029999999999999</v>
      </c>
      <c r="D21" s="26">
        <v>-0.62109999999999999</v>
      </c>
      <c r="E21" s="27">
        <v>5.4359999999999999</v>
      </c>
      <c r="F21" s="1" t="str">
        <f>HYPERLINK("http://www.ncbi.nlm.nih.gov/pubmed/?term=Fcer1g","Fcer1g")</f>
        <v>Fcer1g</v>
      </c>
    </row>
    <row r="22" spans="1:6" x14ac:dyDescent="0.25">
      <c r="A22" t="s">
        <v>1334</v>
      </c>
      <c r="B22" t="s">
        <v>5</v>
      </c>
      <c r="C22" s="47">
        <v>3.4769999999999999</v>
      </c>
      <c r="D22" s="42">
        <v>3.6840000000000002</v>
      </c>
      <c r="E22" s="47">
        <v>2.5219999999999998</v>
      </c>
      <c r="F22" s="1" t="str">
        <f>HYPERLINK("http://www.ncbi.nlm.nih.gov/pubmed/?term=Sos1","Sos1")</f>
        <v>Sos1</v>
      </c>
    </row>
    <row r="23" spans="1:6" x14ac:dyDescent="0.25">
      <c r="A23" t="s">
        <v>534</v>
      </c>
      <c r="B23" t="s">
        <v>1534</v>
      </c>
      <c r="C23" s="42">
        <v>3.738</v>
      </c>
      <c r="D23" s="27">
        <v>4.6950000000000003</v>
      </c>
      <c r="E23" s="47">
        <v>3.3279999999999998</v>
      </c>
      <c r="F23" s="1" t="str">
        <f>HYPERLINK("http://www.ncbi.nlm.nih.gov/pubmed/?term=Vav3","Vav3")</f>
        <v>Vav3</v>
      </c>
    </row>
    <row r="24" spans="1:6" x14ac:dyDescent="0.25">
      <c r="A24" t="s">
        <v>78</v>
      </c>
      <c r="B24" t="s">
        <v>1182</v>
      </c>
      <c r="C24" s="27">
        <v>4.6639999999999997</v>
      </c>
      <c r="D24" s="27">
        <v>4.6269999999999998</v>
      </c>
      <c r="E24" s="47">
        <v>2.9020000000000001</v>
      </c>
      <c r="F24" s="1" t="str">
        <f>HYPERLINK("http://www.ncbi.nlm.nih.gov/pubmed/?term=Plcg1","Plcg1")</f>
        <v>Plcg1</v>
      </c>
    </row>
    <row r="25" spans="1:6" x14ac:dyDescent="0.25">
      <c r="A25" t="s">
        <v>31</v>
      </c>
      <c r="B25" t="s">
        <v>400</v>
      </c>
      <c r="C25" s="42">
        <v>4.476</v>
      </c>
      <c r="D25" s="42">
        <v>3.5920000000000001</v>
      </c>
      <c r="E25" s="47">
        <v>3.4319999999999999</v>
      </c>
      <c r="F25" s="1" t="str">
        <f>HYPERLINK("http://www.ncbi.nlm.nih.gov/pubmed/?term=Mapk9","Mapk9")</f>
        <v>Mapk9</v>
      </c>
    </row>
    <row r="26" spans="1:6" x14ac:dyDescent="0.25">
      <c r="A26" t="s">
        <v>834</v>
      </c>
      <c r="B26" t="s">
        <v>1552</v>
      </c>
      <c r="C26" s="27">
        <v>4.516</v>
      </c>
      <c r="D26" s="42">
        <v>3.7549999999999999</v>
      </c>
      <c r="E26" s="47">
        <v>3.4649999999999999</v>
      </c>
      <c r="F26" s="1" t="str">
        <f>HYPERLINK("http://www.ncbi.nlm.nih.gov/pubmed/?term=Mapk8","Mapk8")</f>
        <v>Mapk8</v>
      </c>
    </row>
    <row r="27" spans="1:6" x14ac:dyDescent="0.25">
      <c r="A27" t="s">
        <v>1205</v>
      </c>
      <c r="B27" t="s">
        <v>1329</v>
      </c>
      <c r="C27" s="28">
        <v>5.6820000000000004</v>
      </c>
      <c r="D27" s="27">
        <v>5.0220000000000002</v>
      </c>
      <c r="E27" s="27">
        <v>4.7060000000000004</v>
      </c>
      <c r="F27" s="1" t="str">
        <f>HYPERLINK("http://www.ncbi.nlm.nih.gov/pubmed/?term=Pik3r2","Pik3r2")</f>
        <v>Pik3r2</v>
      </c>
    </row>
    <row r="28" spans="1:6" x14ac:dyDescent="0.25">
      <c r="A28" t="s">
        <v>1620</v>
      </c>
      <c r="B28" t="s">
        <v>1646</v>
      </c>
      <c r="C28" s="42">
        <v>4.484</v>
      </c>
      <c r="D28" s="42">
        <v>3.6629999999999998</v>
      </c>
      <c r="E28" s="47">
        <v>2.92</v>
      </c>
      <c r="F28" s="1" t="str">
        <f>HYPERLINK("http://www.ncbi.nlm.nih.gov/pubmed/?term=Map2k4","Map2k4")</f>
        <v>Map2k4</v>
      </c>
    </row>
    <row r="29" spans="1:6" x14ac:dyDescent="0.25">
      <c r="A29" t="s">
        <v>731</v>
      </c>
      <c r="B29" t="s">
        <v>1330</v>
      </c>
      <c r="C29" s="27">
        <v>4.9180000000000001</v>
      </c>
      <c r="D29" s="27">
        <v>4.8079999999999998</v>
      </c>
      <c r="E29" s="42">
        <v>3.7410000000000001</v>
      </c>
      <c r="F29" s="1" t="str">
        <f>HYPERLINK("http://www.ncbi.nlm.nih.gov/pubmed/?term=Pik3r1","Pik3r1")</f>
        <v>Pik3r1</v>
      </c>
    </row>
    <row r="30" spans="1:6" x14ac:dyDescent="0.25">
      <c r="A30" t="s">
        <v>1902</v>
      </c>
      <c r="B30" t="s">
        <v>292</v>
      </c>
      <c r="C30" s="27">
        <v>5.4859999999999998</v>
      </c>
      <c r="D30" s="27">
        <v>5.1769999999999996</v>
      </c>
      <c r="E30" s="42">
        <v>4.3440000000000003</v>
      </c>
      <c r="F30" s="1" t="str">
        <f>HYPERLINK("http://www.ncbi.nlm.nih.gov/pubmed/?term=Mapk14","Mapk14")</f>
        <v>Mapk14</v>
      </c>
    </row>
    <row r="31" spans="1:6" x14ac:dyDescent="0.25">
      <c r="A31" t="s">
        <v>807</v>
      </c>
      <c r="B31" t="s">
        <v>1950</v>
      </c>
      <c r="C31" s="27">
        <v>5.1239999999999997</v>
      </c>
      <c r="D31" s="47">
        <v>3.4119999999999999</v>
      </c>
      <c r="E31" s="27">
        <v>5.2290000000000001</v>
      </c>
      <c r="F31" s="1" t="str">
        <f>HYPERLINK("http://www.ncbi.nlm.nih.gov/pubmed/?term=Rac3","Rac3")</f>
        <v>Rac3</v>
      </c>
    </row>
    <row r="32" spans="1:6" x14ac:dyDescent="0.25">
      <c r="A32" t="s">
        <v>1880</v>
      </c>
      <c r="B32" t="s">
        <v>1077</v>
      </c>
      <c r="C32" s="42">
        <v>3.6549999999999998</v>
      </c>
      <c r="D32" s="47">
        <v>3.3140000000000001</v>
      </c>
      <c r="E32" s="28">
        <v>6.2270000000000003</v>
      </c>
      <c r="F32" s="1" t="str">
        <f>HYPERLINK("http://www.ncbi.nlm.nih.gov/pubmed/?term=Prkca","Prkca")</f>
        <v>Prkca</v>
      </c>
    </row>
    <row r="33" spans="1:6" x14ac:dyDescent="0.25">
      <c r="A33" t="s">
        <v>159</v>
      </c>
      <c r="B33" t="s">
        <v>1644</v>
      </c>
      <c r="C33" s="43">
        <v>6.5579999999999998</v>
      </c>
      <c r="D33" s="27">
        <v>4.7640000000000002</v>
      </c>
      <c r="E33" s="27">
        <v>5.4039999999999999</v>
      </c>
      <c r="F33" s="1" t="str">
        <f>HYPERLINK("http://www.ncbi.nlm.nih.gov/pubmed/?term=Map2k1","Map2k1")</f>
        <v>Map2k1</v>
      </c>
    </row>
    <row r="34" spans="1:6" x14ac:dyDescent="0.25">
      <c r="A34" t="s">
        <v>2191</v>
      </c>
      <c r="B34" t="s">
        <v>867</v>
      </c>
      <c r="C34" s="42">
        <v>4.2430000000000003</v>
      </c>
      <c r="D34" s="36">
        <v>2.2789999999999999</v>
      </c>
      <c r="E34" s="36">
        <v>2.3780000000000001</v>
      </c>
      <c r="F34" s="1" t="str">
        <f>HYPERLINK("http://www.ncbi.nlm.nih.gov/pubmed/?term=Pdk1","Pdk1")</f>
        <v>Pdk1</v>
      </c>
    </row>
    <row r="35" spans="1:6" x14ac:dyDescent="0.25">
      <c r="A35" t="s">
        <v>1967</v>
      </c>
      <c r="B35" t="s">
        <v>898</v>
      </c>
      <c r="C35" s="27">
        <v>5.2279999999999998</v>
      </c>
      <c r="D35" s="42">
        <v>3.9319999999999999</v>
      </c>
      <c r="E35" s="42">
        <v>4.4470000000000001</v>
      </c>
      <c r="F35" s="1" t="str">
        <f>HYPERLINK("http://www.ncbi.nlm.nih.gov/pubmed/?term=Kras","Kras")</f>
        <v>Kras</v>
      </c>
    </row>
    <row r="36" spans="1:6" x14ac:dyDescent="0.25">
      <c r="A36" t="s">
        <v>522</v>
      </c>
      <c r="B36" t="s">
        <v>1073</v>
      </c>
      <c r="C36" s="42">
        <v>4.03</v>
      </c>
      <c r="D36" s="26">
        <v>-0.30590000000000001</v>
      </c>
      <c r="E36" s="26">
        <v>0.31240000000000001</v>
      </c>
      <c r="F36" s="1" t="str">
        <f>HYPERLINK("http://www.ncbi.nlm.nih.gov/pubmed/?term=Lat","Lat")</f>
        <v>Lat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RowHeight="15" x14ac:dyDescent="0.25"/>
  <cols>
    <col min="2" max="2" width="11.7109375" bestFit="1" customWidth="1"/>
    <col min="3" max="3" width="19.85546875" bestFit="1" customWidth="1"/>
    <col min="4" max="4" width="23" bestFit="1" customWidth="1"/>
    <col min="5" max="5" width="34.28515625" bestFit="1" customWidth="1"/>
  </cols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856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321</v>
      </c>
      <c r="B5" t="s">
        <v>983</v>
      </c>
      <c r="C5" s="14">
        <v>1.254</v>
      </c>
      <c r="D5" s="28">
        <v>6.3419999999999996</v>
      </c>
      <c r="E5" s="43">
        <v>8.1620000000000008</v>
      </c>
      <c r="F5" s="1" t="str">
        <f>HYPERLINK("http://www.ncbi.nlm.nih.gov/pubmed/?term=Il4i1","Il4i1")</f>
        <v>Il4i1</v>
      </c>
    </row>
    <row r="6" spans="1:6" x14ac:dyDescent="0.25">
      <c r="A6" t="s">
        <v>1248</v>
      </c>
      <c r="B6" t="s">
        <v>2158</v>
      </c>
      <c r="C6" s="27">
        <v>5.4740000000000002</v>
      </c>
      <c r="D6" s="28">
        <v>6.3890000000000002</v>
      </c>
      <c r="E6" s="42">
        <v>3.6019999999999999</v>
      </c>
      <c r="F6" s="1" t="str">
        <f>HYPERLINK("http://www.ncbi.nlm.nih.gov/pubmed/?term=Aldh2","Aldh2")</f>
        <v>Aldh2</v>
      </c>
    </row>
    <row r="7" spans="1:6" x14ac:dyDescent="0.25">
      <c r="A7" t="s">
        <v>418</v>
      </c>
      <c r="B7" t="s">
        <v>776</v>
      </c>
      <c r="C7" s="36">
        <v>1.93</v>
      </c>
      <c r="D7" s="42">
        <v>3.9969999999999999</v>
      </c>
      <c r="E7" s="14">
        <v>1.28</v>
      </c>
      <c r="F7" s="1" t="str">
        <f>HYPERLINK("http://www.ncbi.nlm.nih.gov/pubmed/?term=Aox4","Aox4")</f>
        <v>Aox4</v>
      </c>
    </row>
    <row r="8" spans="1:6" x14ac:dyDescent="0.25">
      <c r="A8" t="s">
        <v>219</v>
      </c>
      <c r="B8" t="s">
        <v>762</v>
      </c>
      <c r="C8" s="42">
        <v>4.09</v>
      </c>
      <c r="D8" s="47">
        <v>2.6179999999999999</v>
      </c>
      <c r="E8" s="36">
        <v>2.492</v>
      </c>
      <c r="F8" s="1" t="str">
        <f>HYPERLINK("http://www.ncbi.nlm.nih.gov/pubmed/?term=Dbt","Dbt")</f>
        <v>Dbt</v>
      </c>
    </row>
    <row r="9" spans="1:6" x14ac:dyDescent="0.25">
      <c r="A9" t="s">
        <v>683</v>
      </c>
      <c r="B9" t="s">
        <v>1793</v>
      </c>
      <c r="C9" s="28">
        <v>6.4889999999999999</v>
      </c>
      <c r="D9" s="28">
        <v>6.3239999999999998</v>
      </c>
      <c r="E9" s="27">
        <v>5.26</v>
      </c>
      <c r="F9" s="1" t="str">
        <f>HYPERLINK("http://www.ncbi.nlm.nih.gov/pubmed/?term=Aldh3a2","Aldh3a2")</f>
        <v>Aldh3a2</v>
      </c>
    </row>
    <row r="10" spans="1:6" x14ac:dyDescent="0.25">
      <c r="A10" t="s">
        <v>1970</v>
      </c>
      <c r="B10" t="s">
        <v>1799</v>
      </c>
      <c r="C10" s="42">
        <v>4.4329999999999998</v>
      </c>
      <c r="D10" s="47">
        <v>2.7869999999999999</v>
      </c>
      <c r="E10" s="14">
        <v>1.194</v>
      </c>
      <c r="F10" s="1" t="str">
        <f>HYPERLINK("http://www.ncbi.nlm.nih.gov/pubmed/?term=Aldh6a1","Aldh6a1")</f>
        <v>Aldh6a1</v>
      </c>
    </row>
    <row r="11" spans="1:6" x14ac:dyDescent="0.25">
      <c r="A11" t="s">
        <v>1369</v>
      </c>
      <c r="B11" t="s">
        <v>1841</v>
      </c>
      <c r="C11" s="28">
        <v>5.6820000000000004</v>
      </c>
      <c r="D11" s="27">
        <v>4.665</v>
      </c>
      <c r="E11" s="42">
        <v>3.6179999999999999</v>
      </c>
      <c r="F11" s="1" t="str">
        <f>HYPERLINK("http://www.ncbi.nlm.nih.gov/pubmed/?term=Oxct1","Oxct1")</f>
        <v>Oxct1</v>
      </c>
    </row>
    <row r="12" spans="1:6" x14ac:dyDescent="0.25">
      <c r="A12" t="s">
        <v>263</v>
      </c>
      <c r="B12" t="s">
        <v>728</v>
      </c>
      <c r="C12" s="28">
        <v>6.0149999999999997</v>
      </c>
      <c r="D12" s="27">
        <v>4.8529999999999998</v>
      </c>
      <c r="E12" s="42">
        <v>3.6549999999999998</v>
      </c>
      <c r="F12" s="1" t="str">
        <f>HYPERLINK("http://www.ncbi.nlm.nih.gov/pubmed/?term=Hsd17b10","Hsd17b10")</f>
        <v>Hsd17b10</v>
      </c>
    </row>
    <row r="13" spans="1:6" x14ac:dyDescent="0.25">
      <c r="A13" t="s">
        <v>75</v>
      </c>
      <c r="B13" t="s">
        <v>2167</v>
      </c>
      <c r="C13" s="27">
        <v>4.5830000000000002</v>
      </c>
      <c r="D13" s="47">
        <v>3.3580000000000001</v>
      </c>
      <c r="E13" s="47">
        <v>2.8450000000000002</v>
      </c>
      <c r="F13" s="1" t="str">
        <f>HYPERLINK("http://www.ncbi.nlm.nih.gov/pubmed/?term=Ivd","Ivd")</f>
        <v>Ivd</v>
      </c>
    </row>
    <row r="14" spans="1:6" x14ac:dyDescent="0.25">
      <c r="A14" t="s">
        <v>1963</v>
      </c>
      <c r="B14" t="s">
        <v>315</v>
      </c>
      <c r="C14" s="27">
        <v>4.9779999999999998</v>
      </c>
      <c r="D14" s="42">
        <v>3.8260000000000001</v>
      </c>
      <c r="E14" s="47">
        <v>3.49</v>
      </c>
      <c r="F14" s="1" t="str">
        <f>HYPERLINK("http://www.ncbi.nlm.nih.gov/pubmed/?term=Acadsb","Acadsb")</f>
        <v>Acadsb</v>
      </c>
    </row>
    <row r="15" spans="1:6" x14ac:dyDescent="0.25">
      <c r="A15" t="s">
        <v>884</v>
      </c>
      <c r="B15" t="s">
        <v>1072</v>
      </c>
      <c r="C15" s="47">
        <v>3.3849999999999998</v>
      </c>
      <c r="D15" s="47">
        <v>2.585</v>
      </c>
      <c r="E15" s="36">
        <v>1.792</v>
      </c>
      <c r="F15" s="1" t="str">
        <f>HYPERLINK("http://www.ncbi.nlm.nih.gov/pubmed/?term=Acad8","Acad8")</f>
        <v>Acad8</v>
      </c>
    </row>
    <row r="16" spans="1:6" x14ac:dyDescent="0.25">
      <c r="A16" t="s">
        <v>334</v>
      </c>
      <c r="B16" t="s">
        <v>271</v>
      </c>
      <c r="C16" s="28">
        <v>5.6589999999999998</v>
      </c>
      <c r="D16" s="42">
        <v>3.9159999999999999</v>
      </c>
      <c r="E16" s="47">
        <v>3.2589999999999999</v>
      </c>
      <c r="F16" s="1" t="str">
        <f>HYPERLINK("http://www.ncbi.nlm.nih.gov/pubmed/?term=Bckdhb","Bckdhb")</f>
        <v>Bckdhb</v>
      </c>
    </row>
    <row r="17" spans="1:6" x14ac:dyDescent="0.25">
      <c r="A17" t="s">
        <v>1526</v>
      </c>
      <c r="B17" t="s">
        <v>1247</v>
      </c>
      <c r="C17" s="27">
        <v>5.37</v>
      </c>
      <c r="D17" s="42">
        <v>3.9049999999999998</v>
      </c>
      <c r="E17" s="14">
        <v>1.488</v>
      </c>
      <c r="F17" s="1" t="str">
        <f>HYPERLINK("http://www.ncbi.nlm.nih.gov/pubmed/?term=Acaa2","Acaa2")</f>
        <v>Acaa2</v>
      </c>
    </row>
    <row r="18" spans="1:6" x14ac:dyDescent="0.25">
      <c r="A18" t="s">
        <v>476</v>
      </c>
      <c r="B18" t="s">
        <v>2194</v>
      </c>
      <c r="C18" s="28">
        <v>5.8730000000000002</v>
      </c>
      <c r="D18" s="42">
        <v>4.1980000000000004</v>
      </c>
      <c r="E18" s="47">
        <v>3.476</v>
      </c>
      <c r="F18" s="1" t="str">
        <f>HYPERLINK("http://www.ncbi.nlm.nih.gov/pubmed/?term=Aldh7a1","Aldh7a1")</f>
        <v>Aldh7a1</v>
      </c>
    </row>
    <row r="19" spans="1:6" x14ac:dyDescent="0.25">
      <c r="A19" t="s">
        <v>940</v>
      </c>
      <c r="B19" t="s">
        <v>1187</v>
      </c>
      <c r="C19" s="42">
        <v>4.274</v>
      </c>
      <c r="D19" s="47">
        <v>3.3540000000000001</v>
      </c>
      <c r="E19" s="27">
        <v>4.702</v>
      </c>
      <c r="F19" s="1" t="str">
        <f>HYPERLINK("http://www.ncbi.nlm.nih.gov/pubmed/?term=Mccc2","Mccc2")</f>
        <v>Mccc2</v>
      </c>
    </row>
    <row r="20" spans="1:6" x14ac:dyDescent="0.25">
      <c r="A20" t="s">
        <v>548</v>
      </c>
      <c r="B20" t="s">
        <v>1188</v>
      </c>
      <c r="C20" s="27">
        <v>5.4560000000000004</v>
      </c>
      <c r="D20" s="42">
        <v>4.3730000000000002</v>
      </c>
      <c r="E20" s="43">
        <v>6.89</v>
      </c>
      <c r="F20" s="1" t="str">
        <f>HYPERLINK("http://www.ncbi.nlm.nih.gov/pubmed/?term=Mccc1","Mccc1")</f>
        <v>Mccc1</v>
      </c>
    </row>
    <row r="21" spans="1:6" x14ac:dyDescent="0.25">
      <c r="A21" t="s">
        <v>1359</v>
      </c>
      <c r="B21" t="s">
        <v>923</v>
      </c>
      <c r="C21" s="27">
        <v>4.6159999999999997</v>
      </c>
      <c r="D21" s="42">
        <v>4.2030000000000003</v>
      </c>
      <c r="E21" s="28">
        <v>6.0990000000000002</v>
      </c>
      <c r="F21" s="1" t="str">
        <f>HYPERLINK("http://www.ncbi.nlm.nih.gov/pubmed/?term=Bcat2","Bcat2")</f>
        <v>Bcat2</v>
      </c>
    </row>
    <row r="22" spans="1:6" x14ac:dyDescent="0.25">
      <c r="A22" t="s">
        <v>1092</v>
      </c>
      <c r="B22" t="s">
        <v>1274</v>
      </c>
      <c r="C22" s="42">
        <v>4.2699999999999996</v>
      </c>
      <c r="D22" s="47">
        <v>2.7080000000000002</v>
      </c>
      <c r="E22" s="47">
        <v>2.843</v>
      </c>
      <c r="F22" s="1" t="str">
        <f>HYPERLINK("http://www.ncbi.nlm.nih.gov/pubmed/?term=Mut","Mut")</f>
        <v>Mut</v>
      </c>
    </row>
    <row r="23" spans="1:6" x14ac:dyDescent="0.25">
      <c r="A23" t="s">
        <v>1091</v>
      </c>
      <c r="B23" t="s">
        <v>226</v>
      </c>
      <c r="C23" s="28">
        <v>6.09</v>
      </c>
      <c r="D23" s="27">
        <v>4.8970000000000002</v>
      </c>
      <c r="E23" s="28">
        <v>5.56</v>
      </c>
      <c r="F23" s="1" t="str">
        <f>HYPERLINK("http://www.ncbi.nlm.nih.gov/pubmed/?term=Hadha","Hadha")</f>
        <v>Hadha</v>
      </c>
    </row>
    <row r="24" spans="1:6" x14ac:dyDescent="0.25">
      <c r="A24" t="s">
        <v>1979</v>
      </c>
      <c r="B24" t="s">
        <v>1316</v>
      </c>
      <c r="C24" s="27">
        <v>5.0529999999999999</v>
      </c>
      <c r="D24" s="42">
        <v>3.5739999999999998</v>
      </c>
      <c r="E24" s="42">
        <v>3.59</v>
      </c>
      <c r="F24" s="1" t="str">
        <f>HYPERLINK("http://www.ncbi.nlm.nih.gov/pubmed/?term=Aldh9a1","Aldh9a1")</f>
        <v>Aldh9a1</v>
      </c>
    </row>
    <row r="25" spans="1:6" x14ac:dyDescent="0.25">
      <c r="A25" t="s">
        <v>227</v>
      </c>
      <c r="B25" t="s">
        <v>2031</v>
      </c>
      <c r="C25" s="43">
        <v>6.6139999999999999</v>
      </c>
      <c r="D25" s="27">
        <v>5.085</v>
      </c>
      <c r="E25" s="27">
        <v>5.38</v>
      </c>
      <c r="F25" s="1" t="str">
        <f>HYPERLINK("http://www.ncbi.nlm.nih.gov/pubmed/?term=Hadh","Hadh")</f>
        <v>Hadh</v>
      </c>
    </row>
    <row r="26" spans="1:6" x14ac:dyDescent="0.25">
      <c r="A26" t="s">
        <v>1366</v>
      </c>
      <c r="B26" t="s">
        <v>97</v>
      </c>
      <c r="C26" s="27">
        <v>5.3230000000000004</v>
      </c>
      <c r="D26" s="42">
        <v>3.5150000000000001</v>
      </c>
      <c r="E26" s="27">
        <v>4.758</v>
      </c>
      <c r="F26" s="1" t="str">
        <f>HYPERLINK("http://www.ncbi.nlm.nih.gov/pubmed/?term=Acat1","Acat1")</f>
        <v>Acat1</v>
      </c>
    </row>
    <row r="27" spans="1:6" x14ac:dyDescent="0.25">
      <c r="A27" t="s">
        <v>1760</v>
      </c>
      <c r="B27" t="s">
        <v>1822</v>
      </c>
      <c r="C27" s="28">
        <v>5.58</v>
      </c>
      <c r="D27" s="42">
        <v>4.1669999999999998</v>
      </c>
      <c r="E27" s="27">
        <v>4.5670000000000002</v>
      </c>
      <c r="F27" s="1" t="str">
        <f>HYPERLINK("http://www.ncbi.nlm.nih.gov/pubmed/?term=Pccb","Pccb")</f>
        <v>Pccb</v>
      </c>
    </row>
    <row r="28" spans="1:6" x14ac:dyDescent="0.25">
      <c r="A28" t="s">
        <v>404</v>
      </c>
      <c r="B28" t="s">
        <v>639</v>
      </c>
      <c r="C28" s="28">
        <v>5.915</v>
      </c>
      <c r="D28" s="26">
        <v>-0.83660000000000001</v>
      </c>
      <c r="E28" s="26">
        <v>-0.36659999999999998</v>
      </c>
      <c r="F28" s="1" t="str">
        <f>HYPERLINK("http://www.ncbi.nlm.nih.gov/pubmed/?term=Abat","Abat")</f>
        <v>Abat</v>
      </c>
    </row>
    <row r="29" spans="1:6" x14ac:dyDescent="0.25">
      <c r="A29" t="s">
        <v>1180</v>
      </c>
      <c r="B29" t="s">
        <v>1517</v>
      </c>
      <c r="C29" s="28">
        <v>6.3710000000000004</v>
      </c>
      <c r="D29" s="27">
        <v>4.9260000000000002</v>
      </c>
      <c r="E29" s="27">
        <v>5.069</v>
      </c>
      <c r="F29" s="1" t="str">
        <f>HYPERLINK("http://www.ncbi.nlm.nih.gov/pubmed/?term=Hadhb","Hadhb")</f>
        <v>Hadhb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1339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401</v>
      </c>
      <c r="B5" t="s">
        <v>1550</v>
      </c>
      <c r="C5" s="19">
        <v>4.8689999999999998</v>
      </c>
      <c r="D5" s="9">
        <v>6.7240000000000002</v>
      </c>
      <c r="E5" s="3">
        <v>5.7530000000000001</v>
      </c>
      <c r="F5" s="1" t="str">
        <f>HYPERLINK("http://www.ncbi.nlm.nih.gov/pubmed/?term=Ptpn6","Ptpn6")</f>
        <v>Ptpn6</v>
      </c>
    </row>
    <row r="6" spans="1:6" x14ac:dyDescent="0.25">
      <c r="A6" t="s">
        <v>498</v>
      </c>
      <c r="B6" t="s">
        <v>297</v>
      </c>
      <c r="C6" s="37">
        <v>2.2389999999999999</v>
      </c>
      <c r="D6" s="9">
        <v>7.0960000000000001</v>
      </c>
      <c r="E6" s="19">
        <v>5.49</v>
      </c>
      <c r="F6" s="1" t="str">
        <f>HYPERLINK("http://www.ncbi.nlm.nih.gov/pubmed/?term=Mapk13","Mapk13")</f>
        <v>Mapk13</v>
      </c>
    </row>
    <row r="7" spans="1:6" x14ac:dyDescent="0.25">
      <c r="A7" t="s">
        <v>1098</v>
      </c>
      <c r="B7" t="s">
        <v>929</v>
      </c>
      <c r="C7" s="26">
        <v>-4.3019999999999996</v>
      </c>
      <c r="D7" s="41">
        <v>3.4460000000000002</v>
      </c>
      <c r="E7" s="37">
        <v>2.1880000000000002</v>
      </c>
      <c r="F7" s="1" t="str">
        <f>HYPERLINK("http://www.ncbi.nlm.nih.gov/pubmed/?term=Il10","Il10")</f>
        <v>Il10</v>
      </c>
    </row>
    <row r="8" spans="1:6" x14ac:dyDescent="0.25">
      <c r="A8" t="s">
        <v>2016</v>
      </c>
      <c r="B8" t="s">
        <v>1464</v>
      </c>
      <c r="C8" s="26">
        <v>-0.25159999999999999</v>
      </c>
      <c r="D8" s="19">
        <v>4.952</v>
      </c>
      <c r="E8" s="8">
        <v>0.69540000000000002</v>
      </c>
      <c r="F8" s="1" t="str">
        <f>HYPERLINK("http://www.ncbi.nlm.nih.gov/pubmed/?term=Pik3cg","Pik3cg")</f>
        <v>Pik3cg</v>
      </c>
    </row>
    <row r="9" spans="1:6" x14ac:dyDescent="0.25">
      <c r="A9" t="s">
        <v>1335</v>
      </c>
      <c r="B9" t="s">
        <v>1328</v>
      </c>
      <c r="C9" s="8">
        <v>0.53520000000000001</v>
      </c>
      <c r="D9" s="3">
        <v>5.8090000000000002</v>
      </c>
      <c r="E9" s="41">
        <v>2.5489999999999999</v>
      </c>
      <c r="F9" s="1" t="str">
        <f>HYPERLINK("http://www.ncbi.nlm.nih.gov/pubmed/?term=Pik3r5","Pik3r5")</f>
        <v>Pik3r5</v>
      </c>
    </row>
    <row r="10" spans="1:6" x14ac:dyDescent="0.25">
      <c r="A10" t="s">
        <v>1012</v>
      </c>
      <c r="B10" t="s">
        <v>608</v>
      </c>
      <c r="C10" s="8">
        <v>0.79710000000000003</v>
      </c>
      <c r="D10" s="15">
        <v>3.81</v>
      </c>
      <c r="E10" s="37">
        <v>2.1230000000000002</v>
      </c>
      <c r="F10" s="1" t="str">
        <f>HYPERLINK("http://www.ncbi.nlm.nih.gov/pubmed/?term=Pak1","Pak1")</f>
        <v>Pak1</v>
      </c>
    </row>
    <row r="11" spans="1:6" x14ac:dyDescent="0.25">
      <c r="A11" t="s">
        <v>1878</v>
      </c>
      <c r="B11" t="s">
        <v>523</v>
      </c>
      <c r="C11" s="37">
        <v>2.383</v>
      </c>
      <c r="D11" s="15">
        <v>3.786</v>
      </c>
      <c r="E11" s="15">
        <v>3.532</v>
      </c>
      <c r="F11" s="1" t="str">
        <f>HYPERLINK("http://www.ncbi.nlm.nih.gov/pubmed/?term=Malt1","Malt1")</f>
        <v>Malt1</v>
      </c>
    </row>
    <row r="12" spans="1:6" x14ac:dyDescent="0.25">
      <c r="A12" t="s">
        <v>1828</v>
      </c>
      <c r="B12" t="s">
        <v>1532</v>
      </c>
      <c r="C12" s="37">
        <v>1.986</v>
      </c>
      <c r="D12" s="3">
        <v>5.7009999999999996</v>
      </c>
      <c r="E12" s="41">
        <v>2.6230000000000002</v>
      </c>
      <c r="F12" s="1" t="str">
        <f>HYPERLINK("http://www.ncbi.nlm.nih.gov/pubmed/?term=Vav1","Vav1")</f>
        <v>Vav1</v>
      </c>
    </row>
    <row r="13" spans="1:6" x14ac:dyDescent="0.25">
      <c r="A13" t="s">
        <v>1524</v>
      </c>
      <c r="B13" t="s">
        <v>1499</v>
      </c>
      <c r="C13" s="26">
        <v>-3.9929999999999999</v>
      </c>
      <c r="D13" s="26">
        <v>-2.68</v>
      </c>
      <c r="E13" s="41">
        <v>3.4220000000000002</v>
      </c>
      <c r="F13" s="1" t="str">
        <f>HYPERLINK("http://www.ncbi.nlm.nih.gov/pubmed/?term=Il4","Il4")</f>
        <v>Il4</v>
      </c>
    </row>
    <row r="14" spans="1:6" x14ac:dyDescent="0.25">
      <c r="A14" t="s">
        <v>421</v>
      </c>
      <c r="B14" t="s">
        <v>1535</v>
      </c>
      <c r="C14" s="37">
        <v>2.2810000000000001</v>
      </c>
      <c r="D14" s="41">
        <v>2.8679999999999999</v>
      </c>
      <c r="E14" s="15">
        <v>4.0170000000000003</v>
      </c>
      <c r="F14" s="1" t="str">
        <f>HYPERLINK("http://www.ncbi.nlm.nih.gov/pubmed/?term=Vav2","Vav2")</f>
        <v>Vav2</v>
      </c>
    </row>
    <row r="15" spans="1:6" x14ac:dyDescent="0.25">
      <c r="A15" t="s">
        <v>656</v>
      </c>
      <c r="B15" t="s">
        <v>1049</v>
      </c>
      <c r="C15" s="26">
        <v>-1.929</v>
      </c>
      <c r="D15" s="8">
        <v>0.65049999999999997</v>
      </c>
      <c r="E15" s="15">
        <v>4.242</v>
      </c>
      <c r="F15" s="1" t="str">
        <f>HYPERLINK("http://www.ncbi.nlm.nih.gov/pubmed/?term=Tnf","Tnf")</f>
        <v>Tnf</v>
      </c>
    </row>
    <row r="16" spans="1:6" x14ac:dyDescent="0.25">
      <c r="A16" t="s">
        <v>2023</v>
      </c>
      <c r="B16" t="s">
        <v>897</v>
      </c>
      <c r="C16" s="15">
        <v>4.37</v>
      </c>
      <c r="D16" s="19">
        <v>5.0970000000000004</v>
      </c>
      <c r="E16" s="19">
        <v>5.4119999999999999</v>
      </c>
      <c r="F16" s="1" t="str">
        <f>HYPERLINK("http://www.ncbi.nlm.nih.gov/pubmed/?term=Hras1","Hras1")</f>
        <v>Hras1</v>
      </c>
    </row>
    <row r="17" spans="1:6" x14ac:dyDescent="0.25">
      <c r="A17" t="s">
        <v>842</v>
      </c>
      <c r="B17" t="s">
        <v>1041</v>
      </c>
      <c r="C17" s="26">
        <v>6.5780000000000005E-2</v>
      </c>
      <c r="D17" s="41">
        <v>2.7519999999999998</v>
      </c>
      <c r="E17" s="19">
        <v>4.6470000000000002</v>
      </c>
      <c r="F17" s="1" t="str">
        <f>HYPERLINK("http://www.ncbi.nlm.nih.gov/pubmed/?term=Nfatc2","Nfatc2")</f>
        <v>Nfatc2</v>
      </c>
    </row>
    <row r="18" spans="1:6" x14ac:dyDescent="0.25">
      <c r="A18" t="s">
        <v>1230</v>
      </c>
      <c r="B18" t="s">
        <v>2172</v>
      </c>
      <c r="C18" s="37">
        <v>1.95</v>
      </c>
      <c r="D18" s="41">
        <v>3.3420000000000001</v>
      </c>
      <c r="E18" s="19">
        <v>5.1740000000000004</v>
      </c>
      <c r="F18" s="1" t="str">
        <f>HYPERLINK("http://www.ncbi.nlm.nih.gov/pubmed/?term=Tec","Tec")</f>
        <v>Tec</v>
      </c>
    </row>
    <row r="19" spans="1:6" x14ac:dyDescent="0.25">
      <c r="A19" t="s">
        <v>1352</v>
      </c>
      <c r="B19" t="s">
        <v>2160</v>
      </c>
      <c r="C19" s="19">
        <v>4.5460000000000003</v>
      </c>
      <c r="D19" s="19">
        <v>4.9820000000000002</v>
      </c>
      <c r="E19" s="3">
        <v>6.2560000000000002</v>
      </c>
      <c r="F19" s="1" t="str">
        <f>HYPERLINK("http://www.ncbi.nlm.nih.gov/pubmed/?term=Ikbkb","Ikbkb")</f>
        <v>Ikbkb</v>
      </c>
    </row>
    <row r="20" spans="1:6" x14ac:dyDescent="0.25">
      <c r="A20" t="s">
        <v>333</v>
      </c>
      <c r="B20" t="s">
        <v>1460</v>
      </c>
      <c r="C20" s="26">
        <v>0.44829999999999998</v>
      </c>
      <c r="D20" s="37">
        <v>2.1360000000000001</v>
      </c>
      <c r="E20" s="15">
        <v>3.8809999999999998</v>
      </c>
      <c r="F20" s="1" t="str">
        <f>HYPERLINK("http://www.ncbi.nlm.nih.gov/pubmed/?term=Pik3cb","Pik3cb")</f>
        <v>Pik3cb</v>
      </c>
    </row>
    <row r="21" spans="1:6" x14ac:dyDescent="0.25">
      <c r="A21" t="s">
        <v>1004</v>
      </c>
      <c r="B21" t="s">
        <v>1240</v>
      </c>
      <c r="C21" s="19">
        <v>4.9240000000000004</v>
      </c>
      <c r="D21" s="19">
        <v>5.14</v>
      </c>
      <c r="E21" s="15">
        <v>3.9609999999999999</v>
      </c>
      <c r="F21" s="1" t="str">
        <f>HYPERLINK("http://www.ncbi.nlm.nih.gov/pubmed/?term=Nfat5","Nfat5")</f>
        <v>Nfat5</v>
      </c>
    </row>
    <row r="22" spans="1:6" x14ac:dyDescent="0.25">
      <c r="A22" t="s">
        <v>1045</v>
      </c>
      <c r="B22" t="s">
        <v>1412</v>
      </c>
      <c r="C22" s="39">
        <v>8.2629999999999999</v>
      </c>
      <c r="D22" s="43">
        <v>8.5969999999999995</v>
      </c>
      <c r="E22" s="9">
        <v>6.7990000000000004</v>
      </c>
      <c r="F22" s="1" t="str">
        <f>HYPERLINK("http://www.ncbi.nlm.nih.gov/pubmed/?term=Fos","Fos")</f>
        <v>Fos</v>
      </c>
    </row>
    <row r="23" spans="1:6" x14ac:dyDescent="0.25">
      <c r="A23" t="s">
        <v>1334</v>
      </c>
      <c r="B23" t="s">
        <v>5</v>
      </c>
      <c r="C23" s="41">
        <v>3.4769999999999999</v>
      </c>
      <c r="D23" s="15">
        <v>3.6840000000000002</v>
      </c>
      <c r="E23" s="41">
        <v>2.5219999999999998</v>
      </c>
      <c r="F23" s="1" t="str">
        <f>HYPERLINK("http://www.ncbi.nlm.nih.gov/pubmed/?term=Sos1","Sos1")</f>
        <v>Sos1</v>
      </c>
    </row>
    <row r="24" spans="1:6" x14ac:dyDescent="0.25">
      <c r="A24" t="s">
        <v>534</v>
      </c>
      <c r="B24" t="s">
        <v>1534</v>
      </c>
      <c r="C24" s="15">
        <v>3.738</v>
      </c>
      <c r="D24" s="19">
        <v>4.6950000000000003</v>
      </c>
      <c r="E24" s="41">
        <v>3.3279999999999998</v>
      </c>
      <c r="F24" s="1" t="str">
        <f>HYPERLINK("http://www.ncbi.nlm.nih.gov/pubmed/?term=Vav3","Vav3")</f>
        <v>Vav3</v>
      </c>
    </row>
    <row r="25" spans="1:6" x14ac:dyDescent="0.25">
      <c r="A25" t="s">
        <v>1884</v>
      </c>
      <c r="B25" t="s">
        <v>2000</v>
      </c>
      <c r="C25" s="43">
        <v>8.7729999999999997</v>
      </c>
      <c r="D25" s="43">
        <v>9.0190000000000001</v>
      </c>
      <c r="E25" s="9">
        <v>7.4089999999999998</v>
      </c>
      <c r="F25" s="1" t="str">
        <f>HYPERLINK("http://www.ncbi.nlm.nih.gov/pubmed/?term=Jun","Jun")</f>
        <v>Jun</v>
      </c>
    </row>
    <row r="26" spans="1:6" x14ac:dyDescent="0.25">
      <c r="A26" t="s">
        <v>1803</v>
      </c>
      <c r="B26" t="s">
        <v>1393</v>
      </c>
      <c r="C26" s="19">
        <v>4.6040000000000001</v>
      </c>
      <c r="D26" s="37">
        <v>1.738</v>
      </c>
      <c r="E26" s="8">
        <v>1.3029999999999999</v>
      </c>
      <c r="F26" s="1" t="str">
        <f>HYPERLINK("http://www.ncbi.nlm.nih.gov/pubmed/?term=Lck","Lck")</f>
        <v>Lck</v>
      </c>
    </row>
    <row r="27" spans="1:6" x14ac:dyDescent="0.25">
      <c r="A27" t="s">
        <v>78</v>
      </c>
      <c r="B27" t="s">
        <v>1182</v>
      </c>
      <c r="C27" s="19">
        <v>4.6639999999999997</v>
      </c>
      <c r="D27" s="19">
        <v>4.6269999999999998</v>
      </c>
      <c r="E27" s="41">
        <v>2.9020000000000001</v>
      </c>
      <c r="F27" s="1" t="str">
        <f>HYPERLINK("http://www.ncbi.nlm.nih.gov/pubmed/?term=Plcg1","Plcg1")</f>
        <v>Plcg1</v>
      </c>
    </row>
    <row r="28" spans="1:6" x14ac:dyDescent="0.25">
      <c r="A28" t="s">
        <v>31</v>
      </c>
      <c r="B28" t="s">
        <v>400</v>
      </c>
      <c r="C28" s="15">
        <v>4.476</v>
      </c>
      <c r="D28" s="15">
        <v>3.5920000000000001</v>
      </c>
      <c r="E28" s="41">
        <v>3.4319999999999999</v>
      </c>
      <c r="F28" s="1" t="str">
        <f>HYPERLINK("http://www.ncbi.nlm.nih.gov/pubmed/?term=Mapk9","Mapk9")</f>
        <v>Mapk9</v>
      </c>
    </row>
    <row r="29" spans="1:6" x14ac:dyDescent="0.25">
      <c r="A29" t="s">
        <v>413</v>
      </c>
      <c r="B29" t="s">
        <v>571</v>
      </c>
      <c r="C29" s="15">
        <v>3.6440000000000001</v>
      </c>
      <c r="D29" s="37">
        <v>2.0840000000000001</v>
      </c>
      <c r="E29" s="26">
        <v>-0.11409999999999999</v>
      </c>
      <c r="F29" s="1" t="str">
        <f>HYPERLINK("http://www.ncbi.nlm.nih.gov/pubmed/?term=Ptprc","Ptprc")</f>
        <v>Ptprc</v>
      </c>
    </row>
    <row r="30" spans="1:6" x14ac:dyDescent="0.25">
      <c r="A30" t="s">
        <v>1205</v>
      </c>
      <c r="B30" t="s">
        <v>1329</v>
      </c>
      <c r="C30" s="3">
        <v>5.6820000000000004</v>
      </c>
      <c r="D30" s="19">
        <v>5.0220000000000002</v>
      </c>
      <c r="E30" s="19">
        <v>4.7060000000000004</v>
      </c>
      <c r="F30" s="1" t="str">
        <f>HYPERLINK("http://www.ncbi.nlm.nih.gov/pubmed/?term=Pik3r2","Pik3r2")</f>
        <v>Pik3r2</v>
      </c>
    </row>
    <row r="31" spans="1:6" x14ac:dyDescent="0.25">
      <c r="A31" t="s">
        <v>731</v>
      </c>
      <c r="B31" t="s">
        <v>1330</v>
      </c>
      <c r="C31" s="19">
        <v>4.9180000000000001</v>
      </c>
      <c r="D31" s="19">
        <v>4.8079999999999998</v>
      </c>
      <c r="E31" s="15">
        <v>3.7410000000000001</v>
      </c>
      <c r="F31" s="1" t="str">
        <f>HYPERLINK("http://www.ncbi.nlm.nih.gov/pubmed/?term=Pik3r1","Pik3r1")</f>
        <v>Pik3r1</v>
      </c>
    </row>
    <row r="32" spans="1:6" x14ac:dyDescent="0.25">
      <c r="A32" t="s">
        <v>1119</v>
      </c>
      <c r="B32" t="s">
        <v>2162</v>
      </c>
      <c r="C32" s="19">
        <v>4.7320000000000002</v>
      </c>
      <c r="D32" s="26">
        <v>0.45860000000000001</v>
      </c>
      <c r="E32" s="26">
        <v>-0.81830000000000003</v>
      </c>
      <c r="F32" s="1" t="str">
        <f>HYPERLINK("http://www.ncbi.nlm.nih.gov/pubmed/?term=Grap2","Grap2")</f>
        <v>Grap2</v>
      </c>
    </row>
    <row r="33" spans="1:6" x14ac:dyDescent="0.25">
      <c r="A33" t="s">
        <v>1767</v>
      </c>
      <c r="B33" t="s">
        <v>100</v>
      </c>
      <c r="C33" s="15">
        <v>4.1340000000000003</v>
      </c>
      <c r="D33" s="26">
        <v>-0.39410000000000001</v>
      </c>
      <c r="E33" s="26">
        <v>-0.43059999999999998</v>
      </c>
      <c r="F33" s="1" t="str">
        <f>HYPERLINK("http://www.ncbi.nlm.nih.gov/pubmed/?term=Cd8b1","Cd8b1")</f>
        <v>Cd8b1</v>
      </c>
    </row>
    <row r="34" spans="1:6" x14ac:dyDescent="0.25">
      <c r="A34" t="s">
        <v>1902</v>
      </c>
      <c r="B34" t="s">
        <v>292</v>
      </c>
      <c r="C34" s="19">
        <v>5.4859999999999998</v>
      </c>
      <c r="D34" s="19">
        <v>5.1769999999999996</v>
      </c>
      <c r="E34" s="15">
        <v>4.3440000000000003</v>
      </c>
      <c r="F34" s="1" t="str">
        <f>HYPERLINK("http://www.ncbi.nlm.nih.gov/pubmed/?term=Mapk14","Mapk14")</f>
        <v>Mapk14</v>
      </c>
    </row>
    <row r="35" spans="1:6" x14ac:dyDescent="0.25">
      <c r="A35" t="s">
        <v>1437</v>
      </c>
      <c r="B35" t="s">
        <v>1636</v>
      </c>
      <c r="C35" s="15">
        <v>4.1340000000000003</v>
      </c>
      <c r="D35" s="26">
        <v>0.40960000000000002</v>
      </c>
      <c r="E35" s="26">
        <v>5.8040000000000001E-2</v>
      </c>
      <c r="F35" s="1" t="str">
        <f>HYPERLINK("http://www.ncbi.nlm.nih.gov/pubmed/?term=Cd8a","Cd8a")</f>
        <v>Cd8a</v>
      </c>
    </row>
    <row r="36" spans="1:6" x14ac:dyDescent="0.25">
      <c r="A36" t="s">
        <v>1942</v>
      </c>
      <c r="B36" t="s">
        <v>506</v>
      </c>
      <c r="C36" s="19">
        <v>4.665</v>
      </c>
      <c r="D36" s="15">
        <v>4.1630000000000003</v>
      </c>
      <c r="E36" s="19">
        <v>5.266</v>
      </c>
      <c r="F36" s="1" t="str">
        <f>HYPERLINK("http://www.ncbi.nlm.nih.gov/pubmed/?term=Map3k14","Map3k14")</f>
        <v>Map3k14</v>
      </c>
    </row>
    <row r="37" spans="1:6" x14ac:dyDescent="0.25">
      <c r="A37" t="s">
        <v>1852</v>
      </c>
      <c r="B37" t="s">
        <v>1070</v>
      </c>
      <c r="C37" s="39">
        <v>7.577</v>
      </c>
      <c r="D37" s="39">
        <v>7.5250000000000004</v>
      </c>
      <c r="E37" s="43">
        <v>9.6739999999999995</v>
      </c>
      <c r="F37" s="1" t="str">
        <f>HYPERLINK("http://www.ncbi.nlm.nih.gov/pubmed/?term=Nfkbia","Nfkbia")</f>
        <v>Nfkbia</v>
      </c>
    </row>
    <row r="38" spans="1:6" x14ac:dyDescent="0.25">
      <c r="A38" t="s">
        <v>2037</v>
      </c>
      <c r="B38" t="s">
        <v>1071</v>
      </c>
      <c r="C38" s="19">
        <v>5.2140000000000004</v>
      </c>
      <c r="D38" s="19">
        <v>5.157</v>
      </c>
      <c r="E38" s="3">
        <v>6.4509999999999996</v>
      </c>
      <c r="F38" s="1" t="str">
        <f>HYPERLINK("http://www.ncbi.nlm.nih.gov/pubmed/?term=Nfkbie","Nfkbie")</f>
        <v>Nfkbie</v>
      </c>
    </row>
    <row r="39" spans="1:6" x14ac:dyDescent="0.25">
      <c r="A39" t="s">
        <v>191</v>
      </c>
      <c r="B39" t="s">
        <v>592</v>
      </c>
      <c r="C39" s="41">
        <v>2.7770000000000001</v>
      </c>
      <c r="D39" s="37">
        <v>2.3420000000000001</v>
      </c>
      <c r="E39" s="15">
        <v>4.452</v>
      </c>
      <c r="F39" s="1" t="str">
        <f>HYPERLINK("http://www.ncbi.nlm.nih.gov/pubmed/?term=Map3k8","Map3k8")</f>
        <v>Map3k8</v>
      </c>
    </row>
    <row r="40" spans="1:6" x14ac:dyDescent="0.25">
      <c r="A40" t="s">
        <v>566</v>
      </c>
      <c r="B40" t="s">
        <v>727</v>
      </c>
      <c r="C40" s="26">
        <v>-0.22</v>
      </c>
      <c r="D40" s="26">
        <v>-1.9410000000000001</v>
      </c>
      <c r="E40" s="19">
        <v>5.1689999999999996</v>
      </c>
      <c r="F40" s="1" t="str">
        <f>HYPERLINK("http://www.ncbi.nlm.nih.gov/pubmed/?term=Ctla4","Ctla4")</f>
        <v>Ctla4</v>
      </c>
    </row>
    <row r="41" spans="1:6" x14ac:dyDescent="0.25">
      <c r="A41" t="s">
        <v>1675</v>
      </c>
      <c r="B41" t="s">
        <v>1069</v>
      </c>
      <c r="C41" s="19">
        <v>4.6070000000000002</v>
      </c>
      <c r="D41" s="15">
        <v>3.927</v>
      </c>
      <c r="E41" s="19">
        <v>5.1689999999999996</v>
      </c>
      <c r="F41" s="1" t="str">
        <f>HYPERLINK("http://www.ncbi.nlm.nih.gov/pubmed/?term=Nfkbib","Nfkbib")</f>
        <v>Nfkbib</v>
      </c>
    </row>
    <row r="42" spans="1:6" x14ac:dyDescent="0.25">
      <c r="A42" t="s">
        <v>1883</v>
      </c>
      <c r="B42" t="s">
        <v>434</v>
      </c>
      <c r="C42" s="15">
        <v>4.2249999999999996</v>
      </c>
      <c r="D42" s="26">
        <v>0.3417</v>
      </c>
      <c r="E42" s="8">
        <v>0.66310000000000002</v>
      </c>
      <c r="F42" s="1" t="str">
        <f>HYPERLINK("http://www.ncbi.nlm.nih.gov/pubmed/?term=Cd3g","Cd3g")</f>
        <v>Cd3g</v>
      </c>
    </row>
    <row r="43" spans="1:6" x14ac:dyDescent="0.25">
      <c r="A43" t="s">
        <v>159</v>
      </c>
      <c r="B43" t="s">
        <v>1644</v>
      </c>
      <c r="C43" s="9">
        <v>6.5579999999999998</v>
      </c>
      <c r="D43" s="19">
        <v>4.7640000000000002</v>
      </c>
      <c r="E43" s="19">
        <v>5.4039999999999999</v>
      </c>
      <c r="F43" s="1" t="str">
        <f>HYPERLINK("http://www.ncbi.nlm.nih.gov/pubmed/?term=Map2k1","Map2k1")</f>
        <v>Map2k1</v>
      </c>
    </row>
    <row r="44" spans="1:6" x14ac:dyDescent="0.25">
      <c r="A44" t="s">
        <v>1821</v>
      </c>
      <c r="B44" t="s">
        <v>694</v>
      </c>
      <c r="C44" s="41">
        <v>3.367</v>
      </c>
      <c r="D44" s="8">
        <v>0.92649999999999999</v>
      </c>
      <c r="E44" s="8">
        <v>1.3360000000000001</v>
      </c>
      <c r="F44" s="1" t="str">
        <f>HYPERLINK("http://www.ncbi.nlm.nih.gov/pubmed/?term=Cd247","Cd247")</f>
        <v>Cd247</v>
      </c>
    </row>
    <row r="45" spans="1:6" x14ac:dyDescent="0.25">
      <c r="A45" t="s">
        <v>2191</v>
      </c>
      <c r="B45" t="s">
        <v>867</v>
      </c>
      <c r="C45" s="15">
        <v>4.2430000000000003</v>
      </c>
      <c r="D45" s="37">
        <v>2.2789999999999999</v>
      </c>
      <c r="E45" s="37">
        <v>2.3780000000000001</v>
      </c>
      <c r="F45" s="1" t="str">
        <f>HYPERLINK("http://www.ncbi.nlm.nih.gov/pubmed/?term=Pdk1","Pdk1")</f>
        <v>Pdk1</v>
      </c>
    </row>
    <row r="46" spans="1:6" x14ac:dyDescent="0.25">
      <c r="A46" t="s">
        <v>1542</v>
      </c>
      <c r="B46" t="s">
        <v>1052</v>
      </c>
      <c r="C46" s="3">
        <v>5.84</v>
      </c>
      <c r="D46" s="19">
        <v>4.8140000000000001</v>
      </c>
      <c r="E46" s="19">
        <v>5.3680000000000003</v>
      </c>
      <c r="F46" s="1" t="str">
        <f>HYPERLINK("http://www.ncbi.nlm.nih.gov/pubmed/?term=Dlg1","Dlg1")</f>
        <v>Dlg1</v>
      </c>
    </row>
    <row r="47" spans="1:6" x14ac:dyDescent="0.25">
      <c r="A47" t="s">
        <v>710</v>
      </c>
      <c r="B47" t="s">
        <v>371</v>
      </c>
      <c r="C47" s="15">
        <v>3.7050000000000001</v>
      </c>
      <c r="D47" s="26">
        <v>-8.745E-2</v>
      </c>
      <c r="E47" s="41">
        <v>2.52</v>
      </c>
      <c r="F47" s="1" t="str">
        <f>HYPERLINK("http://www.ncbi.nlm.nih.gov/pubmed/?term=Cd4","Cd4")</f>
        <v>Cd4</v>
      </c>
    </row>
    <row r="48" spans="1:6" x14ac:dyDescent="0.25">
      <c r="A48" t="s">
        <v>374</v>
      </c>
      <c r="B48" t="s">
        <v>1081</v>
      </c>
      <c r="C48" s="15">
        <v>4.33</v>
      </c>
      <c r="D48" s="37">
        <v>1.802</v>
      </c>
      <c r="E48" s="37">
        <v>2.2570000000000001</v>
      </c>
      <c r="F48" s="1" t="str">
        <f>HYPERLINK("http://www.ncbi.nlm.nih.gov/pubmed/?term=Prkcq","Prkcq")</f>
        <v>Prkcq</v>
      </c>
    </row>
    <row r="49" spans="1:6" x14ac:dyDescent="0.25">
      <c r="A49" t="s">
        <v>1967</v>
      </c>
      <c r="B49" t="s">
        <v>898</v>
      </c>
      <c r="C49" s="19">
        <v>5.2279999999999998</v>
      </c>
      <c r="D49" s="15">
        <v>3.9319999999999999</v>
      </c>
      <c r="E49" s="15">
        <v>4.4470000000000001</v>
      </c>
      <c r="F49" s="1" t="str">
        <f>HYPERLINK("http://www.ncbi.nlm.nih.gov/pubmed/?term=Kras","Kras")</f>
        <v>Kras</v>
      </c>
    </row>
    <row r="50" spans="1:6" x14ac:dyDescent="0.25">
      <c r="A50" t="s">
        <v>522</v>
      </c>
      <c r="B50" t="s">
        <v>1073</v>
      </c>
      <c r="C50" s="15">
        <v>4.03</v>
      </c>
      <c r="D50" s="26">
        <v>-0.30590000000000001</v>
      </c>
      <c r="E50" s="26">
        <v>0.31240000000000001</v>
      </c>
      <c r="F50" s="1" t="str">
        <f>HYPERLINK("http://www.ncbi.nlm.nih.gov/pubmed/?term=Lat","Lat")</f>
        <v>Lat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1860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401</v>
      </c>
      <c r="B5" t="s">
        <v>1550</v>
      </c>
      <c r="C5" s="19">
        <v>4.8689999999999998</v>
      </c>
      <c r="D5" s="9">
        <v>6.7240000000000002</v>
      </c>
      <c r="E5" s="3">
        <v>5.7530000000000001</v>
      </c>
      <c r="F5" s="1" t="str">
        <f>HYPERLINK("http://www.ncbi.nlm.nih.gov/pubmed/?term=Ptpn6","Ptpn6")</f>
        <v>Ptpn6</v>
      </c>
    </row>
    <row r="6" spans="1:6" x14ac:dyDescent="0.25">
      <c r="A6" t="s">
        <v>2016</v>
      </c>
      <c r="B6" t="s">
        <v>1464</v>
      </c>
      <c r="C6" s="26">
        <v>-0.25159999999999999</v>
      </c>
      <c r="D6" s="19">
        <v>4.952</v>
      </c>
      <c r="E6" s="8">
        <v>0.69540000000000002</v>
      </c>
      <c r="F6" s="1" t="str">
        <f>HYPERLINK("http://www.ncbi.nlm.nih.gov/pubmed/?term=Pik3cg","Pik3cg")</f>
        <v>Pik3cg</v>
      </c>
    </row>
    <row r="7" spans="1:6" x14ac:dyDescent="0.25">
      <c r="A7" t="s">
        <v>1335</v>
      </c>
      <c r="B7" t="s">
        <v>1328</v>
      </c>
      <c r="C7" s="8">
        <v>0.53520000000000001</v>
      </c>
      <c r="D7" s="3">
        <v>5.8090000000000002</v>
      </c>
      <c r="E7" s="41">
        <v>2.5489999999999999</v>
      </c>
      <c r="F7" s="1" t="str">
        <f>HYPERLINK("http://www.ncbi.nlm.nih.gov/pubmed/?term=Pik3r5","Pik3r5")</f>
        <v>Pik3r5</v>
      </c>
    </row>
    <row r="8" spans="1:6" x14ac:dyDescent="0.25">
      <c r="A8" t="s">
        <v>2018</v>
      </c>
      <c r="B8" t="s">
        <v>764</v>
      </c>
      <c r="C8" s="26">
        <v>-0.2868</v>
      </c>
      <c r="D8" s="15">
        <v>4.0910000000000002</v>
      </c>
      <c r="E8" s="8">
        <v>1.391</v>
      </c>
      <c r="F8" s="1" t="str">
        <f>HYPERLINK("http://www.ncbi.nlm.nih.gov/pubmed/?term=Ifitm1","Ifitm1")</f>
        <v>Ifitm1</v>
      </c>
    </row>
    <row r="9" spans="1:6" x14ac:dyDescent="0.25">
      <c r="A9" t="s">
        <v>1034</v>
      </c>
      <c r="B9" t="s">
        <v>1268</v>
      </c>
      <c r="C9" s="26">
        <v>0.43269999999999997</v>
      </c>
      <c r="D9" s="19">
        <v>4.952</v>
      </c>
      <c r="E9" s="15">
        <v>4.4619999999999997</v>
      </c>
      <c r="F9" s="1" t="str">
        <f>HYPERLINK("http://www.ncbi.nlm.nih.gov/pubmed/?term=Inpp5d","Inpp5d")</f>
        <v>Inpp5d</v>
      </c>
    </row>
    <row r="10" spans="1:6" x14ac:dyDescent="0.25">
      <c r="A10" t="s">
        <v>1878</v>
      </c>
      <c r="B10" t="s">
        <v>523</v>
      </c>
      <c r="C10" s="37">
        <v>2.383</v>
      </c>
      <c r="D10" s="15">
        <v>3.786</v>
      </c>
      <c r="E10" s="15">
        <v>3.532</v>
      </c>
      <c r="F10" s="1" t="str">
        <f>HYPERLINK("http://www.ncbi.nlm.nih.gov/pubmed/?term=Malt1","Malt1")</f>
        <v>Malt1</v>
      </c>
    </row>
    <row r="11" spans="1:6" x14ac:dyDescent="0.25">
      <c r="A11" t="s">
        <v>951</v>
      </c>
      <c r="B11" t="s">
        <v>1862</v>
      </c>
      <c r="C11" s="15">
        <v>3.51</v>
      </c>
      <c r="D11" s="19">
        <v>4.5170000000000003</v>
      </c>
      <c r="E11" s="15">
        <v>3.9710000000000001</v>
      </c>
      <c r="F11" s="1" t="str">
        <f>HYPERLINK("http://www.ncbi.nlm.nih.gov/pubmed/?term=Inppl1","Inppl1")</f>
        <v>Inppl1</v>
      </c>
    </row>
    <row r="12" spans="1:6" x14ac:dyDescent="0.25">
      <c r="A12" t="s">
        <v>1828</v>
      </c>
      <c r="B12" t="s">
        <v>1532</v>
      </c>
      <c r="C12" s="37">
        <v>1.986</v>
      </c>
      <c r="D12" s="3">
        <v>5.7009999999999996</v>
      </c>
      <c r="E12" s="41">
        <v>2.6230000000000002</v>
      </c>
      <c r="F12" s="1" t="str">
        <f>HYPERLINK("http://www.ncbi.nlm.nih.gov/pubmed/?term=Vav1","Vav1")</f>
        <v>Vav1</v>
      </c>
    </row>
    <row r="13" spans="1:6" x14ac:dyDescent="0.25">
      <c r="A13" t="s">
        <v>276</v>
      </c>
      <c r="B13" t="s">
        <v>1181</v>
      </c>
      <c r="C13" s="41">
        <v>2.7959999999999998</v>
      </c>
      <c r="D13" s="19">
        <v>4.8380000000000001</v>
      </c>
      <c r="E13" s="41">
        <v>3.4089999999999998</v>
      </c>
      <c r="F13" s="1" t="str">
        <f>HYPERLINK("http://www.ncbi.nlm.nih.gov/pubmed/?term=Plcg2","Plcg2")</f>
        <v>Plcg2</v>
      </c>
    </row>
    <row r="14" spans="1:6" x14ac:dyDescent="0.25">
      <c r="A14" t="s">
        <v>421</v>
      </c>
      <c r="B14" t="s">
        <v>1535</v>
      </c>
      <c r="C14" s="37">
        <v>2.2810000000000001</v>
      </c>
      <c r="D14" s="41">
        <v>2.8679999999999999</v>
      </c>
      <c r="E14" s="15">
        <v>4.0170000000000003</v>
      </c>
      <c r="F14" s="1" t="str">
        <f>HYPERLINK("http://www.ncbi.nlm.nih.gov/pubmed/?term=Vav2","Vav2")</f>
        <v>Vav2</v>
      </c>
    </row>
    <row r="15" spans="1:6" x14ac:dyDescent="0.25">
      <c r="A15" t="s">
        <v>1599</v>
      </c>
      <c r="B15" t="s">
        <v>225</v>
      </c>
      <c r="C15" s="8">
        <v>0.73909999999999998</v>
      </c>
      <c r="D15" s="41">
        <v>3.1890000000000001</v>
      </c>
      <c r="E15" s="19">
        <v>4.5190000000000001</v>
      </c>
      <c r="F15" s="1" t="str">
        <f>HYPERLINK("http://www.ncbi.nlm.nih.gov/pubmed/?term=Syk","Syk")</f>
        <v>Syk</v>
      </c>
    </row>
    <row r="16" spans="1:6" x14ac:dyDescent="0.25">
      <c r="A16" t="s">
        <v>2023</v>
      </c>
      <c r="B16" t="s">
        <v>897</v>
      </c>
      <c r="C16" s="15">
        <v>4.37</v>
      </c>
      <c r="D16" s="19">
        <v>5.0970000000000004</v>
      </c>
      <c r="E16" s="19">
        <v>5.4119999999999999</v>
      </c>
      <c r="F16" s="1" t="str">
        <f>HYPERLINK("http://www.ncbi.nlm.nih.gov/pubmed/?term=Hras1","Hras1")</f>
        <v>Hras1</v>
      </c>
    </row>
    <row r="17" spans="1:6" x14ac:dyDescent="0.25">
      <c r="A17" t="s">
        <v>1168</v>
      </c>
      <c r="B17" t="s">
        <v>322</v>
      </c>
      <c r="C17" s="26">
        <v>-3.5329999999999999</v>
      </c>
      <c r="D17" s="41">
        <v>2.552</v>
      </c>
      <c r="E17" s="15">
        <v>3.6709999999999998</v>
      </c>
      <c r="F17" s="1" t="str">
        <f>HYPERLINK("http://www.ncbi.nlm.nih.gov/pubmed/?term=Cr2","Cr2")</f>
        <v>Cr2</v>
      </c>
    </row>
    <row r="18" spans="1:6" x14ac:dyDescent="0.25">
      <c r="A18" t="s">
        <v>842</v>
      </c>
      <c r="B18" t="s">
        <v>1041</v>
      </c>
      <c r="C18" s="26">
        <v>6.5780000000000005E-2</v>
      </c>
      <c r="D18" s="41">
        <v>2.7519999999999998</v>
      </c>
      <c r="E18" s="19">
        <v>4.6470000000000002</v>
      </c>
      <c r="F18" s="1" t="str">
        <f>HYPERLINK("http://www.ncbi.nlm.nih.gov/pubmed/?term=Nfatc2","Nfatc2")</f>
        <v>Nfatc2</v>
      </c>
    </row>
    <row r="19" spans="1:6" x14ac:dyDescent="0.25">
      <c r="A19" t="s">
        <v>1732</v>
      </c>
      <c r="B19" t="s">
        <v>787</v>
      </c>
      <c r="C19" s="8">
        <v>1.335</v>
      </c>
      <c r="D19" s="15">
        <v>4.1050000000000004</v>
      </c>
      <c r="E19" s="19">
        <v>4.6589999999999998</v>
      </c>
      <c r="F19" s="1" t="str">
        <f>HYPERLINK("http://www.ncbi.nlm.nih.gov/pubmed/?term=Dapp1","Dapp1")</f>
        <v>Dapp1</v>
      </c>
    </row>
    <row r="20" spans="1:6" x14ac:dyDescent="0.25">
      <c r="A20" t="s">
        <v>949</v>
      </c>
      <c r="B20" t="s">
        <v>1997</v>
      </c>
      <c r="C20" s="8">
        <v>0.79559999999999997</v>
      </c>
      <c r="D20" s="15">
        <v>4.1029999999999998</v>
      </c>
      <c r="E20" s="19">
        <v>4.9550000000000001</v>
      </c>
      <c r="F20" s="1" t="str">
        <f>HYPERLINK("http://www.ncbi.nlm.nih.gov/pubmed/?term=Cd72","Cd72")</f>
        <v>Cd72</v>
      </c>
    </row>
    <row r="21" spans="1:6" x14ac:dyDescent="0.25">
      <c r="A21" t="s">
        <v>1352</v>
      </c>
      <c r="B21" t="s">
        <v>2160</v>
      </c>
      <c r="C21" s="19">
        <v>4.5460000000000003</v>
      </c>
      <c r="D21" s="19">
        <v>4.9820000000000002</v>
      </c>
      <c r="E21" s="3">
        <v>6.2560000000000002</v>
      </c>
      <c r="F21" s="1" t="str">
        <f>HYPERLINK("http://www.ncbi.nlm.nih.gov/pubmed/?term=Ikbkb","Ikbkb")</f>
        <v>Ikbkb</v>
      </c>
    </row>
    <row r="22" spans="1:6" x14ac:dyDescent="0.25">
      <c r="A22" t="s">
        <v>333</v>
      </c>
      <c r="B22" t="s">
        <v>1460</v>
      </c>
      <c r="C22" s="26">
        <v>0.44829999999999998</v>
      </c>
      <c r="D22" s="37">
        <v>2.1360000000000001</v>
      </c>
      <c r="E22" s="15">
        <v>3.8809999999999998</v>
      </c>
      <c r="F22" s="1" t="str">
        <f>HYPERLINK("http://www.ncbi.nlm.nih.gov/pubmed/?term=Pik3cb","Pik3cb")</f>
        <v>Pik3cb</v>
      </c>
    </row>
    <row r="23" spans="1:6" x14ac:dyDescent="0.25">
      <c r="A23" t="s">
        <v>674</v>
      </c>
      <c r="B23" t="s">
        <v>1949</v>
      </c>
      <c r="C23" s="41">
        <v>2.6110000000000002</v>
      </c>
      <c r="D23" s="15">
        <v>4.2789999999999999</v>
      </c>
      <c r="E23" s="9">
        <v>6.8239999999999998</v>
      </c>
      <c r="F23" s="1" t="str">
        <f>HYPERLINK("http://www.ncbi.nlm.nih.gov/pubmed/?term=Rac2","Rac2")</f>
        <v>Rac2</v>
      </c>
    </row>
    <row r="24" spans="1:6" x14ac:dyDescent="0.25">
      <c r="A24" t="s">
        <v>1194</v>
      </c>
      <c r="B24" t="s">
        <v>1368</v>
      </c>
      <c r="C24" s="26">
        <v>-0.45679999999999998</v>
      </c>
      <c r="D24" s="41">
        <v>3.2330000000000001</v>
      </c>
      <c r="E24" s="15">
        <v>3.9350000000000001</v>
      </c>
      <c r="F24" s="1" t="str">
        <f>HYPERLINK("http://www.ncbi.nlm.nih.gov/pubmed/?term=Cd79b","Cd79b")</f>
        <v>Cd79b</v>
      </c>
    </row>
    <row r="25" spans="1:6" x14ac:dyDescent="0.25">
      <c r="A25" t="s">
        <v>1116</v>
      </c>
      <c r="B25" t="s">
        <v>432</v>
      </c>
      <c r="C25" s="8">
        <v>1.321</v>
      </c>
      <c r="D25" s="41">
        <v>3.4740000000000002</v>
      </c>
      <c r="E25" s="15">
        <v>3.508</v>
      </c>
      <c r="F25" s="1" t="str">
        <f>HYPERLINK("http://www.ncbi.nlm.nih.gov/pubmed/?term=Lyn","Lyn")</f>
        <v>Lyn</v>
      </c>
    </row>
    <row r="26" spans="1:6" x14ac:dyDescent="0.25">
      <c r="A26" t="s">
        <v>1141</v>
      </c>
      <c r="B26" t="s">
        <v>946</v>
      </c>
      <c r="C26" s="26">
        <v>0.36049999999999999</v>
      </c>
      <c r="D26" s="19">
        <v>4.7919999999999998</v>
      </c>
      <c r="E26" s="9">
        <v>6.7489999999999997</v>
      </c>
      <c r="F26" s="1" t="str">
        <f>HYPERLINK("http://www.ncbi.nlm.nih.gov/pubmed/?term=Blnk","Blnk")</f>
        <v>Blnk</v>
      </c>
    </row>
    <row r="27" spans="1:6" x14ac:dyDescent="0.25">
      <c r="A27" t="s">
        <v>1004</v>
      </c>
      <c r="B27" t="s">
        <v>1240</v>
      </c>
      <c r="C27" s="19">
        <v>4.9240000000000004</v>
      </c>
      <c r="D27" s="19">
        <v>5.14</v>
      </c>
      <c r="E27" s="15">
        <v>3.9609999999999999</v>
      </c>
      <c r="F27" s="1" t="str">
        <f>HYPERLINK("http://www.ncbi.nlm.nih.gov/pubmed/?term=Nfat5","Nfat5")</f>
        <v>Nfat5</v>
      </c>
    </row>
    <row r="28" spans="1:6" x14ac:dyDescent="0.25">
      <c r="A28" t="s">
        <v>1045</v>
      </c>
      <c r="B28" t="s">
        <v>1412</v>
      </c>
      <c r="C28" s="39">
        <v>8.2629999999999999</v>
      </c>
      <c r="D28" s="43">
        <v>8.5969999999999995</v>
      </c>
      <c r="E28" s="9">
        <v>6.7990000000000004</v>
      </c>
      <c r="F28" s="1" t="str">
        <f>HYPERLINK("http://www.ncbi.nlm.nih.gov/pubmed/?term=Fos","Fos")</f>
        <v>Fos</v>
      </c>
    </row>
    <row r="29" spans="1:6" x14ac:dyDescent="0.25">
      <c r="A29" t="s">
        <v>1334</v>
      </c>
      <c r="B29" t="s">
        <v>5</v>
      </c>
      <c r="C29" s="41">
        <v>3.4769999999999999</v>
      </c>
      <c r="D29" s="15">
        <v>3.6840000000000002</v>
      </c>
      <c r="E29" s="41">
        <v>2.5219999999999998</v>
      </c>
      <c r="F29" s="1" t="str">
        <f>HYPERLINK("http://www.ncbi.nlm.nih.gov/pubmed/?term=Sos1","Sos1")</f>
        <v>Sos1</v>
      </c>
    </row>
    <row r="30" spans="1:6" x14ac:dyDescent="0.25">
      <c r="A30" t="s">
        <v>534</v>
      </c>
      <c r="B30" t="s">
        <v>1534</v>
      </c>
      <c r="C30" s="15">
        <v>3.738</v>
      </c>
      <c r="D30" s="19">
        <v>4.6950000000000003</v>
      </c>
      <c r="E30" s="41">
        <v>3.3279999999999998</v>
      </c>
      <c r="F30" s="1" t="str">
        <f>HYPERLINK("http://www.ncbi.nlm.nih.gov/pubmed/?term=Vav3","Vav3")</f>
        <v>Vav3</v>
      </c>
    </row>
    <row r="31" spans="1:6" x14ac:dyDescent="0.25">
      <c r="A31" t="s">
        <v>1309</v>
      </c>
      <c r="B31" t="s">
        <v>2127</v>
      </c>
      <c r="C31" s="19">
        <v>5.1150000000000002</v>
      </c>
      <c r="D31" s="19">
        <v>5.1840000000000002</v>
      </c>
      <c r="E31" s="15">
        <v>3.8460000000000001</v>
      </c>
      <c r="F31" s="1" t="str">
        <f>HYPERLINK("http://www.ncbi.nlm.nih.gov/pubmed/?term=Cd81","Cd81")</f>
        <v>Cd81</v>
      </c>
    </row>
    <row r="32" spans="1:6" x14ac:dyDescent="0.25">
      <c r="A32" t="s">
        <v>1884</v>
      </c>
      <c r="B32" t="s">
        <v>2000</v>
      </c>
      <c r="C32" s="43">
        <v>8.7729999999999997</v>
      </c>
      <c r="D32" s="43">
        <v>9.0190000000000001</v>
      </c>
      <c r="E32" s="9">
        <v>7.4089999999999998</v>
      </c>
      <c r="F32" s="1" t="str">
        <f>HYPERLINK("http://www.ncbi.nlm.nih.gov/pubmed/?term=Jun","Jun")</f>
        <v>Jun</v>
      </c>
    </row>
    <row r="33" spans="1:6" x14ac:dyDescent="0.25">
      <c r="A33" t="s">
        <v>1205</v>
      </c>
      <c r="B33" t="s">
        <v>1329</v>
      </c>
      <c r="C33" s="3">
        <v>5.6820000000000004</v>
      </c>
      <c r="D33" s="19">
        <v>5.0220000000000002</v>
      </c>
      <c r="E33" s="19">
        <v>4.7060000000000004</v>
      </c>
      <c r="F33" s="1" t="str">
        <f>HYPERLINK("http://www.ncbi.nlm.nih.gov/pubmed/?term=Pik3r2","Pik3r2")</f>
        <v>Pik3r2</v>
      </c>
    </row>
    <row r="34" spans="1:6" x14ac:dyDescent="0.25">
      <c r="A34" t="s">
        <v>731</v>
      </c>
      <c r="B34" t="s">
        <v>1330</v>
      </c>
      <c r="C34" s="19">
        <v>4.9180000000000001</v>
      </c>
      <c r="D34" s="19">
        <v>4.8079999999999998</v>
      </c>
      <c r="E34" s="15">
        <v>3.7410000000000001</v>
      </c>
      <c r="F34" s="1" t="str">
        <f>HYPERLINK("http://www.ncbi.nlm.nih.gov/pubmed/?term=Pik3r1","Pik3r1")</f>
        <v>Pik3r1</v>
      </c>
    </row>
    <row r="35" spans="1:6" x14ac:dyDescent="0.25">
      <c r="A35" t="s">
        <v>807</v>
      </c>
      <c r="B35" t="s">
        <v>1950</v>
      </c>
      <c r="C35" s="19">
        <v>5.1239999999999997</v>
      </c>
      <c r="D35" s="41">
        <v>3.4119999999999999</v>
      </c>
      <c r="E35" s="19">
        <v>5.2290000000000001</v>
      </c>
      <c r="F35" s="1" t="str">
        <f>HYPERLINK("http://www.ncbi.nlm.nih.gov/pubmed/?term=Rac3","Rac3")</f>
        <v>Rac3</v>
      </c>
    </row>
    <row r="36" spans="1:6" x14ac:dyDescent="0.25">
      <c r="A36" t="s">
        <v>1852</v>
      </c>
      <c r="B36" t="s">
        <v>1070</v>
      </c>
      <c r="C36" s="39">
        <v>7.577</v>
      </c>
      <c r="D36" s="39">
        <v>7.5250000000000004</v>
      </c>
      <c r="E36" s="43">
        <v>9.6739999999999995</v>
      </c>
      <c r="F36" s="1" t="str">
        <f>HYPERLINK("http://www.ncbi.nlm.nih.gov/pubmed/?term=Nfkbia","Nfkbia")</f>
        <v>Nfkbia</v>
      </c>
    </row>
    <row r="37" spans="1:6" x14ac:dyDescent="0.25">
      <c r="A37" t="s">
        <v>2037</v>
      </c>
      <c r="B37" t="s">
        <v>1071</v>
      </c>
      <c r="C37" s="19">
        <v>5.2140000000000004</v>
      </c>
      <c r="D37" s="19">
        <v>5.157</v>
      </c>
      <c r="E37" s="3">
        <v>6.4509999999999996</v>
      </c>
      <c r="F37" s="1" t="str">
        <f>HYPERLINK("http://www.ncbi.nlm.nih.gov/pubmed/?term=Nfkbie","Nfkbie")</f>
        <v>Nfkbie</v>
      </c>
    </row>
    <row r="38" spans="1:6" x14ac:dyDescent="0.25">
      <c r="A38" t="s">
        <v>1675</v>
      </c>
      <c r="B38" t="s">
        <v>1069</v>
      </c>
      <c r="C38" s="19">
        <v>4.6070000000000002</v>
      </c>
      <c r="D38" s="15">
        <v>3.927</v>
      </c>
      <c r="E38" s="19">
        <v>5.1689999999999996</v>
      </c>
      <c r="F38" s="1" t="str">
        <f>HYPERLINK("http://www.ncbi.nlm.nih.gov/pubmed/?term=Nfkbib","Nfkbib")</f>
        <v>Nfkbib</v>
      </c>
    </row>
    <row r="39" spans="1:6" x14ac:dyDescent="0.25">
      <c r="A39" t="s">
        <v>159</v>
      </c>
      <c r="B39" t="s">
        <v>1644</v>
      </c>
      <c r="C39" s="9">
        <v>6.5579999999999998</v>
      </c>
      <c r="D39" s="19">
        <v>4.7640000000000002</v>
      </c>
      <c r="E39" s="19">
        <v>5.4039999999999999</v>
      </c>
      <c r="F39" s="1" t="str">
        <f>HYPERLINK("http://www.ncbi.nlm.nih.gov/pubmed/?term=Map2k1","Map2k1")</f>
        <v>Map2k1</v>
      </c>
    </row>
    <row r="40" spans="1:6" x14ac:dyDescent="0.25">
      <c r="A40" t="s">
        <v>1967</v>
      </c>
      <c r="B40" t="s">
        <v>898</v>
      </c>
      <c r="C40" s="19">
        <v>5.2279999999999998</v>
      </c>
      <c r="D40" s="15">
        <v>3.9319999999999999</v>
      </c>
      <c r="E40" s="15">
        <v>4.4470000000000001</v>
      </c>
      <c r="F40" s="1" t="str">
        <f>HYPERLINK("http://www.ncbi.nlm.nih.gov/pubmed/?term=Kras","Kras")</f>
        <v>Kras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1348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1208</v>
      </c>
      <c r="B5" t="s">
        <v>587</v>
      </c>
      <c r="C5" s="44">
        <v>3.6619999999999999</v>
      </c>
      <c r="D5" s="31">
        <v>5.7629999999999999</v>
      </c>
      <c r="E5" s="44">
        <v>4.4850000000000003</v>
      </c>
      <c r="F5" s="1" t="str">
        <f>HYPERLINK("http://www.ncbi.nlm.nih.gov/pubmed/?term=H2-T22","H2-T22")</f>
        <v>H2-T22</v>
      </c>
    </row>
    <row r="6" spans="1:6" x14ac:dyDescent="0.25">
      <c r="A6" t="s">
        <v>583</v>
      </c>
      <c r="B6" t="s">
        <v>1109</v>
      </c>
      <c r="C6" s="50">
        <v>2.7770000000000001</v>
      </c>
      <c r="D6" s="44">
        <v>3.8559999999999999</v>
      </c>
      <c r="E6" s="50">
        <v>3.3330000000000002</v>
      </c>
      <c r="F6" s="1" t="str">
        <f>HYPERLINK("http://www.ncbi.nlm.nih.gov/pubmed/?term=Ptprn2","Ptprn2")</f>
        <v>Ptprn2</v>
      </c>
    </row>
    <row r="7" spans="1:6" x14ac:dyDescent="0.25">
      <c r="A7" t="s">
        <v>85</v>
      </c>
      <c r="B7" t="s">
        <v>1966</v>
      </c>
      <c r="C7" s="5">
        <v>4.7370000000000001</v>
      </c>
      <c r="D7" s="6">
        <v>8.1150000000000002</v>
      </c>
      <c r="E7" s="6">
        <v>7.9050000000000002</v>
      </c>
      <c r="F7" s="1" t="str">
        <f>HYPERLINK("http://www.ncbi.nlm.nih.gov/pubmed/?term=H2-Q6","H2-Q6")</f>
        <v>H2-Q6</v>
      </c>
    </row>
    <row r="8" spans="1:6" x14ac:dyDescent="0.25">
      <c r="A8" t="s">
        <v>926</v>
      </c>
      <c r="B8" t="s">
        <v>1104</v>
      </c>
      <c r="C8" s="44">
        <v>3.8570000000000002</v>
      </c>
      <c r="D8" s="5">
        <v>4.992</v>
      </c>
      <c r="E8" s="31">
        <v>5.6529999999999996</v>
      </c>
      <c r="F8" s="1" t="str">
        <f>HYPERLINK("http://www.ncbi.nlm.nih.gov/pubmed/?term=H2-M3","H2-M3")</f>
        <v>H2-M3</v>
      </c>
    </row>
    <row r="9" spans="1:6" x14ac:dyDescent="0.25">
      <c r="A9" t="s">
        <v>1861</v>
      </c>
      <c r="B9" t="s">
        <v>1105</v>
      </c>
      <c r="C9" s="44">
        <v>4.3949999999999996</v>
      </c>
      <c r="D9" s="35">
        <v>6.8019999999999996</v>
      </c>
      <c r="E9" s="35">
        <v>7.444</v>
      </c>
      <c r="F9" s="1" t="str">
        <f>HYPERLINK("http://www.ncbi.nlm.nih.gov/pubmed/?term=H2-M2","H2-M2")</f>
        <v>H2-M2</v>
      </c>
    </row>
    <row r="10" spans="1:6" x14ac:dyDescent="0.25">
      <c r="A10" t="s">
        <v>164</v>
      </c>
      <c r="B10" t="s">
        <v>2130</v>
      </c>
      <c r="C10" s="26">
        <v>-2.2599999999999998</v>
      </c>
      <c r="D10" s="26">
        <v>-1.3340000000000001</v>
      </c>
      <c r="E10" s="44">
        <v>3.8769999999999998</v>
      </c>
      <c r="F10" s="1" t="str">
        <f>HYPERLINK("http://www.ncbi.nlm.nih.gov/pubmed/?term=Cd86","Cd86")</f>
        <v>Cd86</v>
      </c>
    </row>
    <row r="11" spans="1:6" x14ac:dyDescent="0.25">
      <c r="A11" t="s">
        <v>656</v>
      </c>
      <c r="B11" t="s">
        <v>1049</v>
      </c>
      <c r="C11" s="26">
        <v>-1.929</v>
      </c>
      <c r="D11" s="30">
        <v>0.65049999999999997</v>
      </c>
      <c r="E11" s="44">
        <v>4.242</v>
      </c>
      <c r="F11" s="1" t="str">
        <f>HYPERLINK("http://www.ncbi.nlm.nih.gov/pubmed/?term=Tnf","Tnf")</f>
        <v>Tnf</v>
      </c>
    </row>
    <row r="12" spans="1:6" x14ac:dyDescent="0.25">
      <c r="A12" t="s">
        <v>986</v>
      </c>
      <c r="B12" t="s">
        <v>2073</v>
      </c>
      <c r="C12" s="4">
        <v>2.4039999999999999</v>
      </c>
      <c r="D12" s="44">
        <v>4.0590000000000002</v>
      </c>
      <c r="E12" s="31">
        <v>6.069</v>
      </c>
      <c r="F12" s="1" t="str">
        <f>HYPERLINK("http://www.ncbi.nlm.nih.gov/pubmed/?term=Fas","Fas")</f>
        <v>Fas</v>
      </c>
    </row>
    <row r="13" spans="1:6" x14ac:dyDescent="0.25">
      <c r="A13" t="s">
        <v>391</v>
      </c>
      <c r="B13" t="s">
        <v>558</v>
      </c>
      <c r="C13" s="26">
        <v>-2.9940000000000002</v>
      </c>
      <c r="D13" s="26">
        <v>-4.1790000000000001E-2</v>
      </c>
      <c r="E13" s="31">
        <v>6.1180000000000003</v>
      </c>
      <c r="F13" s="1" t="str">
        <f>HYPERLINK("http://www.ncbi.nlm.nih.gov/pubmed/?term=Il12a","Il12a")</f>
        <v>Il12a</v>
      </c>
    </row>
    <row r="14" spans="1:6" x14ac:dyDescent="0.25">
      <c r="A14" t="s">
        <v>1956</v>
      </c>
      <c r="B14" t="s">
        <v>1715</v>
      </c>
      <c r="C14" s="31">
        <v>5.9130000000000003</v>
      </c>
      <c r="D14" s="31">
        <v>5.9269999999999996</v>
      </c>
      <c r="E14" s="6">
        <v>8.0259999999999998</v>
      </c>
      <c r="F14" s="1" t="str">
        <f>HYPERLINK("http://www.ncbi.nlm.nih.gov/pubmed/?term=H2-DMb2","H2-DMb2")</f>
        <v>H2-DMb2</v>
      </c>
    </row>
    <row r="15" spans="1:6" x14ac:dyDescent="0.25">
      <c r="A15" t="s">
        <v>1491</v>
      </c>
      <c r="B15" t="s">
        <v>1428</v>
      </c>
      <c r="C15" s="26">
        <v>-0.41930000000000001</v>
      </c>
      <c r="D15" s="4">
        <v>2.2890000000000001</v>
      </c>
      <c r="E15" s="35">
        <v>6.6079999999999997</v>
      </c>
      <c r="F15" s="1" t="str">
        <f>HYPERLINK("http://www.ncbi.nlm.nih.gov/pubmed/?term=H2-Ob","H2-Ob")</f>
        <v>H2-Ob</v>
      </c>
    </row>
    <row r="16" spans="1:6" x14ac:dyDescent="0.25">
      <c r="A16" t="s">
        <v>1311</v>
      </c>
      <c r="B16" t="s">
        <v>1431</v>
      </c>
      <c r="C16" s="44">
        <v>4.4509999999999996</v>
      </c>
      <c r="D16" s="6">
        <v>8.4649999999999999</v>
      </c>
      <c r="E16" s="34">
        <v>8.5500000000000007</v>
      </c>
      <c r="F16" s="1" t="str">
        <f>HYPERLINK("http://www.ncbi.nlm.nih.gov/pubmed/?term=H2-Q7","H2-Q7")</f>
        <v>H2-Q7</v>
      </c>
    </row>
    <row r="17" spans="1:6" x14ac:dyDescent="0.25">
      <c r="A17" t="s">
        <v>1401</v>
      </c>
      <c r="B17" t="s">
        <v>591</v>
      </c>
      <c r="C17" s="49">
        <v>9.7219999999999995</v>
      </c>
      <c r="D17" s="49">
        <v>9.8309999999999995</v>
      </c>
      <c r="E17" s="43">
        <v>11.67</v>
      </c>
      <c r="F17" s="1" t="str">
        <f>HYPERLINK("http://www.ncbi.nlm.nih.gov/pubmed/?term=H2-Eb1","H2-Eb1")</f>
        <v>H2-Eb1</v>
      </c>
    </row>
    <row r="18" spans="1:6" x14ac:dyDescent="0.25">
      <c r="A18" t="s">
        <v>300</v>
      </c>
      <c r="B18" t="s">
        <v>809</v>
      </c>
      <c r="C18" s="34">
        <v>8.6720000000000006</v>
      </c>
      <c r="D18" s="49">
        <v>10.43</v>
      </c>
      <c r="E18" s="43">
        <v>10.72</v>
      </c>
      <c r="F18" s="1" t="str">
        <f>HYPERLINK("http://www.ncbi.nlm.nih.gov/pubmed/?term=H2-K1","H2-K1")</f>
        <v>H2-K1</v>
      </c>
    </row>
    <row r="19" spans="1:6" x14ac:dyDescent="0.25">
      <c r="A19" t="s">
        <v>216</v>
      </c>
      <c r="B19" t="s">
        <v>586</v>
      </c>
      <c r="C19" s="35">
        <v>6.7060000000000004</v>
      </c>
      <c r="D19" s="6">
        <v>7.649</v>
      </c>
      <c r="E19" s="6">
        <v>7.8150000000000004</v>
      </c>
      <c r="F19" s="1" t="str">
        <f>HYPERLINK("http://www.ncbi.nlm.nih.gov/pubmed/?term=H2-T23","H2-T23")</f>
        <v>H2-T23</v>
      </c>
    </row>
    <row r="20" spans="1:6" x14ac:dyDescent="0.25">
      <c r="A20" t="s">
        <v>2141</v>
      </c>
      <c r="B20" t="s">
        <v>157</v>
      </c>
      <c r="C20" s="4">
        <v>2.1930000000000001</v>
      </c>
      <c r="D20" s="44">
        <v>4.2409999999999997</v>
      </c>
      <c r="E20" s="5">
        <v>4.5410000000000004</v>
      </c>
      <c r="F20" s="1" t="str">
        <f>HYPERLINK("http://www.ncbi.nlm.nih.gov/pubmed/?term=H2-Q10","H2-Q10")</f>
        <v>H2-Q10</v>
      </c>
    </row>
    <row r="21" spans="1:6" x14ac:dyDescent="0.25">
      <c r="A21" t="s">
        <v>247</v>
      </c>
      <c r="B21" t="s">
        <v>265</v>
      </c>
      <c r="C21" s="6">
        <v>8.1630000000000003</v>
      </c>
      <c r="D21" s="49">
        <v>10.1</v>
      </c>
      <c r="E21" s="49">
        <v>10.33</v>
      </c>
      <c r="F21" s="1" t="str">
        <f>HYPERLINK("http://www.ncbi.nlm.nih.gov/pubmed/?term=H2-D1","H2-D1")</f>
        <v>H2-D1</v>
      </c>
    </row>
    <row r="22" spans="1:6" x14ac:dyDescent="0.25">
      <c r="A22" t="s">
        <v>1647</v>
      </c>
      <c r="B22" t="s">
        <v>2128</v>
      </c>
      <c r="C22" s="26">
        <v>-0.96909999999999996</v>
      </c>
      <c r="D22" s="50">
        <v>2.597</v>
      </c>
      <c r="E22" s="35">
        <v>6.5759999999999996</v>
      </c>
      <c r="F22" s="1" t="str">
        <f>HYPERLINK("http://www.ncbi.nlm.nih.gov/pubmed/?term=Cd80","Cd80")</f>
        <v>Cd80</v>
      </c>
    </row>
    <row r="23" spans="1:6" x14ac:dyDescent="0.25">
      <c r="A23" t="s">
        <v>1504</v>
      </c>
      <c r="B23" t="s">
        <v>1434</v>
      </c>
      <c r="C23" s="50">
        <v>3.0409999999999999</v>
      </c>
      <c r="D23" s="44">
        <v>3.6920000000000002</v>
      </c>
      <c r="E23" s="44">
        <v>3.9689999999999999</v>
      </c>
      <c r="F23" s="1" t="str">
        <f>HYPERLINK("http://www.ncbi.nlm.nih.gov/pubmed/?term=H2-Q2","H2-Q2")</f>
        <v>H2-Q2</v>
      </c>
    </row>
    <row r="24" spans="1:6" x14ac:dyDescent="0.25">
      <c r="A24" t="s">
        <v>1324</v>
      </c>
      <c r="B24" t="s">
        <v>1429</v>
      </c>
      <c r="C24" s="5">
        <v>5.2809999999999997</v>
      </c>
      <c r="D24" s="5">
        <v>5.2389999999999999</v>
      </c>
      <c r="E24" s="6">
        <v>8.2189999999999994</v>
      </c>
      <c r="F24" s="1" t="str">
        <f>HYPERLINK("http://www.ncbi.nlm.nih.gov/pubmed/?term=H2-Oa","H2-Oa")</f>
        <v>H2-Oa</v>
      </c>
    </row>
    <row r="25" spans="1:6" x14ac:dyDescent="0.25">
      <c r="A25" t="s">
        <v>528</v>
      </c>
      <c r="B25" t="s">
        <v>1739</v>
      </c>
      <c r="C25" s="49">
        <v>10.41</v>
      </c>
      <c r="D25" s="49">
        <v>10.1</v>
      </c>
      <c r="E25" s="43">
        <v>12.37</v>
      </c>
      <c r="F25" s="1" t="str">
        <f>HYPERLINK("http://www.ncbi.nlm.nih.gov/pubmed/?term=H2-Aa","H2-Aa")</f>
        <v>H2-Aa</v>
      </c>
    </row>
    <row r="26" spans="1:6" x14ac:dyDescent="0.25">
      <c r="A26" t="s">
        <v>1974</v>
      </c>
      <c r="B26" t="s">
        <v>1270</v>
      </c>
      <c r="C26" s="43">
        <v>10.67</v>
      </c>
      <c r="D26" s="49">
        <v>10.31</v>
      </c>
      <c r="E26" s="43">
        <v>12.36</v>
      </c>
      <c r="F26" s="1" t="str">
        <f>HYPERLINK("http://www.ncbi.nlm.nih.gov/pubmed/?term=H2-Ab1","H2-Ab1")</f>
        <v>H2-Ab1</v>
      </c>
    </row>
    <row r="27" spans="1:6" x14ac:dyDescent="0.25">
      <c r="A27" t="s">
        <v>1468</v>
      </c>
      <c r="B27" t="s">
        <v>1716</v>
      </c>
      <c r="C27" s="5">
        <v>5.3959999999999999</v>
      </c>
      <c r="D27" s="5">
        <v>5.0060000000000002</v>
      </c>
      <c r="E27" s="35">
        <v>6.9</v>
      </c>
      <c r="F27" s="1" t="str">
        <f>HYPERLINK("http://www.ncbi.nlm.nih.gov/pubmed/?term=H2-DMb1","H2-DMb1")</f>
        <v>H2-DMb1</v>
      </c>
    </row>
    <row r="28" spans="1:6" x14ac:dyDescent="0.25">
      <c r="A28" t="s">
        <v>865</v>
      </c>
      <c r="B28" t="s">
        <v>1044</v>
      </c>
      <c r="C28" s="35">
        <v>6.5350000000000001</v>
      </c>
      <c r="D28" s="5">
        <v>4.9409999999999998</v>
      </c>
      <c r="E28" s="31">
        <v>6.3239999999999998</v>
      </c>
      <c r="F28" s="1" t="str">
        <f>HYPERLINK("http://www.ncbi.nlm.nih.gov/pubmed/?term=H2-DMa","H2-DMa")</f>
        <v>H2-DMa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1724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904</v>
      </c>
      <c r="B5" t="s">
        <v>1659</v>
      </c>
      <c r="C5" s="21">
        <v>1.4890000000000001</v>
      </c>
      <c r="D5" s="3">
        <v>3.8239999999999998</v>
      </c>
      <c r="E5" s="22">
        <v>3.2250000000000001</v>
      </c>
      <c r="F5" s="1" t="str">
        <f>HYPERLINK("http://www.ncbi.nlm.nih.gov/pubmed/?term=Cyb5r1","Cyb5r1")</f>
        <v>Cyb5r1</v>
      </c>
    </row>
    <row r="6" spans="1:6" x14ac:dyDescent="0.25">
      <c r="A6" t="s">
        <v>1623</v>
      </c>
      <c r="B6" t="s">
        <v>2133</v>
      </c>
      <c r="C6" s="22">
        <v>3.3540000000000001</v>
      </c>
      <c r="D6" s="16">
        <v>4.5549999999999997</v>
      </c>
      <c r="E6" s="3">
        <v>4.3250000000000002</v>
      </c>
      <c r="F6" s="1" t="str">
        <f>HYPERLINK("http://www.ncbi.nlm.nih.gov/pubmed/?term=Galt","Galt")</f>
        <v>Galt</v>
      </c>
    </row>
    <row r="7" spans="1:6" x14ac:dyDescent="0.25">
      <c r="A7" t="s">
        <v>1955</v>
      </c>
      <c r="B7" t="s">
        <v>459</v>
      </c>
      <c r="C7" s="22">
        <v>2.879</v>
      </c>
      <c r="D7" s="16">
        <v>4.8049999999999997</v>
      </c>
      <c r="E7" s="3">
        <v>4.1870000000000003</v>
      </c>
      <c r="F7" s="1" t="str">
        <f>HYPERLINK("http://www.ncbi.nlm.nih.gov/pubmed/?term=Hk1","Hk1")</f>
        <v>Hk1</v>
      </c>
    </row>
    <row r="8" spans="1:6" x14ac:dyDescent="0.25">
      <c r="A8" t="s">
        <v>1435</v>
      </c>
      <c r="B8" t="s">
        <v>714</v>
      </c>
      <c r="C8" s="26">
        <v>-0.66190000000000004</v>
      </c>
      <c r="D8" s="43">
        <v>5.992</v>
      </c>
      <c r="E8" s="3">
        <v>4.3259999999999996</v>
      </c>
      <c r="F8" s="1" t="str">
        <f>HYPERLINK("http://www.ncbi.nlm.nih.gov/pubmed/?term=Chi3l1","Chi3l1")</f>
        <v>Chi3l1</v>
      </c>
    </row>
    <row r="9" spans="1:6" x14ac:dyDescent="0.25">
      <c r="A9" t="s">
        <v>307</v>
      </c>
      <c r="B9" t="s">
        <v>81</v>
      </c>
      <c r="C9" s="41">
        <v>2.5</v>
      </c>
      <c r="D9" s="22">
        <v>2.577</v>
      </c>
      <c r="E9" s="22">
        <v>3.4239999999999999</v>
      </c>
      <c r="F9" s="1" t="str">
        <f>HYPERLINK("http://www.ncbi.nlm.nih.gov/pubmed/?term=Cmah","Cmah")</f>
        <v>Cmah</v>
      </c>
    </row>
    <row r="10" spans="1:6" x14ac:dyDescent="0.25">
      <c r="A10" t="s">
        <v>143</v>
      </c>
      <c r="B10" t="s">
        <v>2075</v>
      </c>
      <c r="C10" s="22">
        <v>2.6720000000000002</v>
      </c>
      <c r="D10" s="3">
        <v>3.6960000000000002</v>
      </c>
      <c r="E10" s="16">
        <v>4.9210000000000003</v>
      </c>
      <c r="F10" s="1" t="str">
        <f>HYPERLINK("http://www.ncbi.nlm.nih.gov/pubmed/?term=Mpi","Mpi")</f>
        <v>Mpi</v>
      </c>
    </row>
    <row r="11" spans="1:6" x14ac:dyDescent="0.25">
      <c r="A11" t="s">
        <v>428</v>
      </c>
      <c r="B11" t="s">
        <v>1812</v>
      </c>
      <c r="C11" s="41">
        <v>2.4729999999999999</v>
      </c>
      <c r="D11" s="22">
        <v>2.746</v>
      </c>
      <c r="E11" s="3">
        <v>4.0860000000000003</v>
      </c>
      <c r="F11" s="1" t="str">
        <f>HYPERLINK("http://www.ncbi.nlm.nih.gov/pubmed/?term=Uxs1","Uxs1")</f>
        <v>Uxs1</v>
      </c>
    </row>
    <row r="12" spans="1:6" x14ac:dyDescent="0.25">
      <c r="A12" t="s">
        <v>38</v>
      </c>
      <c r="B12" t="s">
        <v>519</v>
      </c>
      <c r="C12" s="22">
        <v>3.492</v>
      </c>
      <c r="D12" s="3">
        <v>3.8180000000000001</v>
      </c>
      <c r="E12" s="16">
        <v>4.7649999999999997</v>
      </c>
      <c r="F12" s="1" t="str">
        <f>HYPERLINK("http://www.ncbi.nlm.nih.gov/pubmed/?term=Gmppb","Gmppb")</f>
        <v>Gmppb</v>
      </c>
    </row>
    <row r="13" spans="1:6" x14ac:dyDescent="0.25">
      <c r="A13" t="s">
        <v>61</v>
      </c>
      <c r="B13" t="s">
        <v>1588</v>
      </c>
      <c r="C13" s="16">
        <v>5.056</v>
      </c>
      <c r="D13" s="3">
        <v>4.3879999999999999</v>
      </c>
      <c r="E13" s="3">
        <v>3.8780000000000001</v>
      </c>
      <c r="F13" s="1" t="str">
        <f>HYPERLINK("http://www.ncbi.nlm.nih.gov/pubmed/?term=Ugp2","Ugp2")</f>
        <v>Ugp2</v>
      </c>
    </row>
    <row r="14" spans="1:6" x14ac:dyDescent="0.25">
      <c r="A14" t="s">
        <v>1241</v>
      </c>
      <c r="B14" t="s">
        <v>1698</v>
      </c>
      <c r="C14" s="43">
        <v>7.077</v>
      </c>
      <c r="D14" s="43">
        <v>5.8869999999999996</v>
      </c>
      <c r="E14" s="3">
        <v>4.28</v>
      </c>
      <c r="F14" s="1" t="str">
        <f>HYPERLINK("http://www.ncbi.nlm.nih.gov/pubmed/?term=Hexb","Hexb")</f>
        <v>Hexb</v>
      </c>
    </row>
    <row r="15" spans="1:6" x14ac:dyDescent="0.25">
      <c r="A15" t="s">
        <v>1383</v>
      </c>
      <c r="B15" t="s">
        <v>1879</v>
      </c>
      <c r="C15" s="43">
        <v>6.4560000000000004</v>
      </c>
      <c r="D15" s="3">
        <v>4.415</v>
      </c>
      <c r="E15" s="3">
        <v>4.0389999999999997</v>
      </c>
      <c r="F15" s="1" t="str">
        <f>HYPERLINK("http://www.ncbi.nlm.nih.gov/pubmed/?term=Ugdh","Ugdh")</f>
        <v>Ugdh</v>
      </c>
    </row>
    <row r="16" spans="1:6" x14ac:dyDescent="0.25">
      <c r="A16" t="s">
        <v>1381</v>
      </c>
      <c r="B16" t="s">
        <v>215</v>
      </c>
      <c r="C16" s="3">
        <v>4.202</v>
      </c>
      <c r="D16" s="22">
        <v>3.3559999999999999</v>
      </c>
      <c r="E16" s="22">
        <v>2.9239999999999999</v>
      </c>
      <c r="F16" s="1" t="str">
        <f>HYPERLINK("http://www.ncbi.nlm.nih.gov/pubmed/?term=Gnpda2","Gnpda2")</f>
        <v>Gnpda2</v>
      </c>
    </row>
    <row r="17" spans="1:6" x14ac:dyDescent="0.25">
      <c r="A17" t="s">
        <v>1259</v>
      </c>
      <c r="B17" t="s">
        <v>217</v>
      </c>
      <c r="C17" s="3">
        <v>4.0759999999999996</v>
      </c>
      <c r="D17" s="22">
        <v>2.5299999999999998</v>
      </c>
      <c r="E17" s="41">
        <v>2.4340000000000002</v>
      </c>
      <c r="F17" s="1" t="str">
        <f>HYPERLINK("http://www.ncbi.nlm.nih.gov/pubmed/?term=Gnpda1","Gnpda1")</f>
        <v>Gnpda1</v>
      </c>
    </row>
    <row r="18" spans="1:6" x14ac:dyDescent="0.25">
      <c r="A18" t="s">
        <v>1165</v>
      </c>
      <c r="B18" t="s">
        <v>457</v>
      </c>
      <c r="C18" s="21">
        <v>1.4990000000000001</v>
      </c>
      <c r="D18" s="21">
        <v>0.54100000000000004</v>
      </c>
      <c r="E18" s="3">
        <v>3.887</v>
      </c>
      <c r="F18" s="1" t="str">
        <f>HYPERLINK("http://www.ncbi.nlm.nih.gov/pubmed/?term=Hk2","Hk2")</f>
        <v>Hk2</v>
      </c>
    </row>
    <row r="19" spans="1:6" x14ac:dyDescent="0.25">
      <c r="A19" t="s">
        <v>1494</v>
      </c>
      <c r="B19" t="s">
        <v>2178</v>
      </c>
      <c r="C19" s="3">
        <v>4.4340000000000002</v>
      </c>
      <c r="D19" s="3">
        <v>4.3860000000000001</v>
      </c>
      <c r="E19" s="43">
        <v>7.1059999999999999</v>
      </c>
      <c r="F19" s="1" t="str">
        <f>HYPERLINK("http://www.ncbi.nlm.nih.gov/pubmed/?term=Uap1","Uap1")</f>
        <v>Uap1</v>
      </c>
    </row>
    <row r="20" spans="1:6" x14ac:dyDescent="0.25">
      <c r="A20" t="s">
        <v>2059</v>
      </c>
      <c r="B20" t="s">
        <v>1207</v>
      </c>
      <c r="C20" s="16">
        <v>4.6120000000000001</v>
      </c>
      <c r="D20" s="22">
        <v>2.83</v>
      </c>
      <c r="E20" s="22">
        <v>3.0179999999999998</v>
      </c>
      <c r="F20" s="1" t="str">
        <f>HYPERLINK("http://www.ncbi.nlm.nih.gov/pubmed/?term=Galk1","Galk1")</f>
        <v>Galk1</v>
      </c>
    </row>
    <row r="21" spans="1:6" x14ac:dyDescent="0.25">
      <c r="A21" t="s">
        <v>1836</v>
      </c>
      <c r="B21" t="s">
        <v>505</v>
      </c>
      <c r="C21" s="16">
        <v>5.3739999999999997</v>
      </c>
      <c r="D21" s="3">
        <v>4.2320000000000002</v>
      </c>
      <c r="E21" s="16">
        <v>5.367</v>
      </c>
      <c r="F21" s="1" t="str">
        <f>HYPERLINK("http://www.ncbi.nlm.nih.gov/pubmed/?term=Pgm2","Pgm2")</f>
        <v>Pgm2</v>
      </c>
    </row>
    <row r="22" spans="1:6" x14ac:dyDescent="0.25">
      <c r="A22" t="s">
        <v>1082</v>
      </c>
      <c r="B22" t="s">
        <v>510</v>
      </c>
      <c r="C22" s="16">
        <v>5.4059999999999997</v>
      </c>
      <c r="D22" s="21">
        <v>1.097</v>
      </c>
      <c r="E22" s="21">
        <v>1.3009999999999999</v>
      </c>
      <c r="F22" s="1" t="str">
        <f>HYPERLINK("http://www.ncbi.nlm.nih.gov/pubmed/?term=Npl","Npl")</f>
        <v>Npl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1702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745</v>
      </c>
      <c r="B5" t="s">
        <v>1704</v>
      </c>
      <c r="C5" s="26">
        <v>-2.6360000000000001</v>
      </c>
      <c r="D5" s="25">
        <v>5.8220000000000001</v>
      </c>
      <c r="E5" s="20">
        <v>0.92500000000000004</v>
      </c>
      <c r="F5" s="1" t="str">
        <f>HYPERLINK("http://www.ncbi.nlm.nih.gov/pubmed/?term=Hck","Hck")</f>
        <v>Hck</v>
      </c>
    </row>
    <row r="6" spans="1:6" x14ac:dyDescent="0.25">
      <c r="A6" t="s">
        <v>1183</v>
      </c>
      <c r="B6" t="s">
        <v>1427</v>
      </c>
      <c r="C6" s="26">
        <v>-2.7919999999999998</v>
      </c>
      <c r="D6" s="48">
        <v>4.2039999999999997</v>
      </c>
      <c r="E6" s="12">
        <v>1.522</v>
      </c>
      <c r="F6" s="1" t="str">
        <f>HYPERLINK("http://www.ncbi.nlm.nih.gov/pubmed/?term=Ccl6","Ccl6")</f>
        <v>Ccl6</v>
      </c>
    </row>
    <row r="7" spans="1:6" x14ac:dyDescent="0.25">
      <c r="A7" t="s">
        <v>179</v>
      </c>
      <c r="B7" t="s">
        <v>1432</v>
      </c>
      <c r="C7" s="26">
        <v>-1.8540000000000001</v>
      </c>
      <c r="D7" s="48">
        <v>4.1539999999999999</v>
      </c>
      <c r="E7" s="12">
        <v>2.3029999999999999</v>
      </c>
      <c r="F7" s="1" t="str">
        <f>HYPERLINK("http://www.ncbi.nlm.nih.gov/pubmed/?term=Ccl9","Ccl9")</f>
        <v>Ccl9</v>
      </c>
    </row>
    <row r="8" spans="1:6" x14ac:dyDescent="0.25">
      <c r="A8" t="s">
        <v>2016</v>
      </c>
      <c r="B8" t="s">
        <v>1464</v>
      </c>
      <c r="C8" s="26">
        <v>-0.25159999999999999</v>
      </c>
      <c r="D8" s="22">
        <v>4.952</v>
      </c>
      <c r="E8" s="20">
        <v>0.69540000000000002</v>
      </c>
      <c r="F8" s="1" t="str">
        <f>HYPERLINK("http://www.ncbi.nlm.nih.gov/pubmed/?term=Pik3cg","Pik3cg")</f>
        <v>Pik3cg</v>
      </c>
    </row>
    <row r="9" spans="1:6" x14ac:dyDescent="0.25">
      <c r="A9" t="s">
        <v>816</v>
      </c>
      <c r="B9" t="s">
        <v>2067</v>
      </c>
      <c r="C9" s="26">
        <v>-1.4179999999999999</v>
      </c>
      <c r="D9" s="29">
        <v>6.88</v>
      </c>
      <c r="E9" s="48">
        <v>3.6739999999999999</v>
      </c>
      <c r="F9" s="1" t="str">
        <f>HYPERLINK("http://www.ncbi.nlm.nih.gov/pubmed/?term=Ccl11","Ccl11")</f>
        <v>Ccl11</v>
      </c>
    </row>
    <row r="10" spans="1:6" x14ac:dyDescent="0.25">
      <c r="A10" t="s">
        <v>1335</v>
      </c>
      <c r="B10" t="s">
        <v>1328</v>
      </c>
      <c r="C10" s="20">
        <v>0.53520000000000001</v>
      </c>
      <c r="D10" s="25">
        <v>5.8090000000000002</v>
      </c>
      <c r="E10" s="32">
        <v>2.5489999999999999</v>
      </c>
      <c r="F10" s="1" t="str">
        <f>HYPERLINK("http://www.ncbi.nlm.nih.gov/pubmed/?term=Pik3r5","Pik3r5")</f>
        <v>Pik3r5</v>
      </c>
    </row>
    <row r="11" spans="1:6" x14ac:dyDescent="0.25">
      <c r="A11" t="s">
        <v>1308</v>
      </c>
      <c r="B11" t="s">
        <v>985</v>
      </c>
      <c r="C11" s="26">
        <v>-3.0179999999999998</v>
      </c>
      <c r="D11" s="22">
        <v>4.8029999999999999</v>
      </c>
      <c r="E11" s="26">
        <v>0.13300000000000001</v>
      </c>
      <c r="F11" s="1" t="str">
        <f>HYPERLINK("http://www.ncbi.nlm.nih.gov/pubmed/?term=Cxcl14","Cxcl14")</f>
        <v>Cxcl14</v>
      </c>
    </row>
    <row r="12" spans="1:6" x14ac:dyDescent="0.25">
      <c r="A12" t="s">
        <v>1748</v>
      </c>
      <c r="B12" t="s">
        <v>45</v>
      </c>
      <c r="C12" s="26">
        <v>-4.4480000000000004</v>
      </c>
      <c r="D12" s="48">
        <v>3.7269999999999999</v>
      </c>
      <c r="E12" s="26">
        <v>-0.52180000000000004</v>
      </c>
      <c r="F12" s="1" t="str">
        <f>HYPERLINK("http://www.ncbi.nlm.nih.gov/pubmed/?term=Adcy2","Adcy2")</f>
        <v>Adcy2</v>
      </c>
    </row>
    <row r="13" spans="1:6" x14ac:dyDescent="0.25">
      <c r="A13" t="s">
        <v>1941</v>
      </c>
      <c r="B13" t="s">
        <v>40</v>
      </c>
      <c r="C13" s="26">
        <v>-4.2069999999999999</v>
      </c>
      <c r="D13" s="32">
        <v>3.33</v>
      </c>
      <c r="E13" s="12">
        <v>2.3940000000000001</v>
      </c>
      <c r="F13" s="1" t="str">
        <f>HYPERLINK("http://www.ncbi.nlm.nih.gov/pubmed/?term=Adcy5","Adcy5")</f>
        <v>Adcy5</v>
      </c>
    </row>
    <row r="14" spans="1:6" x14ac:dyDescent="0.25">
      <c r="A14" t="s">
        <v>1281</v>
      </c>
      <c r="B14" t="s">
        <v>41</v>
      </c>
      <c r="C14" s="12">
        <v>2.4159999999999999</v>
      </c>
      <c r="D14" s="48">
        <v>3.5110000000000001</v>
      </c>
      <c r="E14" s="32">
        <v>2.5619999999999998</v>
      </c>
      <c r="F14" s="1" t="str">
        <f>HYPERLINK("http://www.ncbi.nlm.nih.gov/pubmed/?term=Adcy6","Adcy6")</f>
        <v>Adcy6</v>
      </c>
    </row>
    <row r="15" spans="1:6" x14ac:dyDescent="0.25">
      <c r="A15" t="s">
        <v>87</v>
      </c>
      <c r="B15" t="s">
        <v>2034</v>
      </c>
      <c r="C15" s="26">
        <v>-0.22109999999999999</v>
      </c>
      <c r="D15" s="29">
        <v>6.5270000000000001</v>
      </c>
      <c r="E15" s="48">
        <v>3.6469999999999998</v>
      </c>
      <c r="F15" s="1" t="str">
        <f>HYPERLINK("http://www.ncbi.nlm.nih.gov/pubmed/?term=Gnb3","Gnb3")</f>
        <v>Gnb3</v>
      </c>
    </row>
    <row r="16" spans="1:6" x14ac:dyDescent="0.25">
      <c r="A16" t="s">
        <v>287</v>
      </c>
      <c r="B16" t="s">
        <v>367</v>
      </c>
      <c r="C16" s="26">
        <v>-3.1030000000000002</v>
      </c>
      <c r="D16" s="29">
        <v>6.657</v>
      </c>
      <c r="E16" s="48">
        <v>4.4180000000000001</v>
      </c>
      <c r="F16" s="1" t="str">
        <f>HYPERLINK("http://www.ncbi.nlm.nih.gov/pubmed/?term=Gng13","Gng13")</f>
        <v>Gng13</v>
      </c>
    </row>
    <row r="17" spans="1:6" x14ac:dyDescent="0.25">
      <c r="A17" t="s">
        <v>552</v>
      </c>
      <c r="B17" t="s">
        <v>1628</v>
      </c>
      <c r="C17" s="26">
        <v>-0.99019999999999997</v>
      </c>
      <c r="D17" s="25">
        <v>5.8730000000000002</v>
      </c>
      <c r="E17" s="22">
        <v>4.5999999999999996</v>
      </c>
      <c r="F17" s="1" t="str">
        <f>HYPERLINK("http://www.ncbi.nlm.nih.gov/pubmed/?term=Ccl20","Ccl20")</f>
        <v>Ccl20</v>
      </c>
    </row>
    <row r="18" spans="1:6" x14ac:dyDescent="0.25">
      <c r="A18" t="s">
        <v>1012</v>
      </c>
      <c r="B18" t="s">
        <v>608</v>
      </c>
      <c r="C18" s="20">
        <v>0.79710000000000003</v>
      </c>
      <c r="D18" s="48">
        <v>3.81</v>
      </c>
      <c r="E18" s="12">
        <v>2.1230000000000002</v>
      </c>
      <c r="F18" s="1" t="str">
        <f>HYPERLINK("http://www.ncbi.nlm.nih.gov/pubmed/?term=Pak1","Pak1")</f>
        <v>Pak1</v>
      </c>
    </row>
    <row r="19" spans="1:6" x14ac:dyDescent="0.25">
      <c r="A19" t="s">
        <v>1828</v>
      </c>
      <c r="B19" t="s">
        <v>1532</v>
      </c>
      <c r="C19" s="12">
        <v>1.986</v>
      </c>
      <c r="D19" s="25">
        <v>5.7009999999999996</v>
      </c>
      <c r="E19" s="32">
        <v>2.6230000000000002</v>
      </c>
      <c r="F19" s="1" t="str">
        <f>HYPERLINK("http://www.ncbi.nlm.nih.gov/pubmed/?term=Vav1","Vav1")</f>
        <v>Vav1</v>
      </c>
    </row>
    <row r="20" spans="1:6" x14ac:dyDescent="0.25">
      <c r="A20" t="s">
        <v>1212</v>
      </c>
      <c r="B20" t="s">
        <v>1935</v>
      </c>
      <c r="C20" s="26">
        <v>-0.58730000000000004</v>
      </c>
      <c r="D20" s="25">
        <v>6.1760000000000002</v>
      </c>
      <c r="E20" s="32">
        <v>2.665</v>
      </c>
      <c r="F20" s="1" t="str">
        <f>HYPERLINK("http://www.ncbi.nlm.nih.gov/pubmed/?term=Plcb2","Plcb2")</f>
        <v>Plcb2</v>
      </c>
    </row>
    <row r="21" spans="1:6" x14ac:dyDescent="0.25">
      <c r="A21" t="s">
        <v>390</v>
      </c>
      <c r="B21" t="s">
        <v>1712</v>
      </c>
      <c r="C21" s="25">
        <v>5.78</v>
      </c>
      <c r="D21" s="29">
        <v>6.601</v>
      </c>
      <c r="E21" s="24">
        <v>7.68</v>
      </c>
      <c r="F21" s="1" t="str">
        <f>HYPERLINK("http://www.ncbi.nlm.nih.gov/pubmed/?term=Stat3","Stat3")</f>
        <v>Stat3</v>
      </c>
    </row>
    <row r="22" spans="1:6" x14ac:dyDescent="0.25">
      <c r="A22" t="s">
        <v>421</v>
      </c>
      <c r="B22" t="s">
        <v>1535</v>
      </c>
      <c r="C22" s="12">
        <v>2.2810000000000001</v>
      </c>
      <c r="D22" s="32">
        <v>2.8679999999999999</v>
      </c>
      <c r="E22" s="48">
        <v>4.0170000000000003</v>
      </c>
      <c r="F22" s="1" t="str">
        <f>HYPERLINK("http://www.ncbi.nlm.nih.gov/pubmed/?term=Vav2","Vav2")</f>
        <v>Vav2</v>
      </c>
    </row>
    <row r="23" spans="1:6" x14ac:dyDescent="0.25">
      <c r="A23" t="s">
        <v>925</v>
      </c>
      <c r="B23" t="s">
        <v>874</v>
      </c>
      <c r="C23" s="26">
        <v>-0.30590000000000001</v>
      </c>
      <c r="D23" s="32">
        <v>3.0009999999999999</v>
      </c>
      <c r="E23" s="24">
        <v>8.1969999999999992</v>
      </c>
      <c r="F23" s="1" t="str">
        <f>HYPERLINK("http://www.ncbi.nlm.nih.gov/pubmed/?term=Ncf1","Ncf1")</f>
        <v>Ncf1</v>
      </c>
    </row>
    <row r="24" spans="1:6" x14ac:dyDescent="0.25">
      <c r="A24" t="s">
        <v>1184</v>
      </c>
      <c r="B24" t="s">
        <v>987</v>
      </c>
      <c r="C24" s="48">
        <v>3.7679999999999998</v>
      </c>
      <c r="D24" s="22">
        <v>4.9080000000000004</v>
      </c>
      <c r="E24" s="22">
        <v>5.0060000000000002</v>
      </c>
      <c r="F24" s="1" t="str">
        <f>HYPERLINK("http://www.ncbi.nlm.nih.gov/pubmed/?term=Cxcl16","Cxcl16")</f>
        <v>Cxcl16</v>
      </c>
    </row>
    <row r="25" spans="1:6" x14ac:dyDescent="0.25">
      <c r="A25" t="s">
        <v>1958</v>
      </c>
      <c r="B25" t="s">
        <v>1965</v>
      </c>
      <c r="C25" s="22">
        <v>4.9290000000000003</v>
      </c>
      <c r="D25" s="22">
        <v>5.2320000000000002</v>
      </c>
      <c r="E25" s="25">
        <v>6.2359999999999998</v>
      </c>
      <c r="F25" s="1" t="str">
        <f>HYPERLINK("http://www.ncbi.nlm.nih.gov/pubmed/?term=Src","Src")</f>
        <v>Src</v>
      </c>
    </row>
    <row r="26" spans="1:6" x14ac:dyDescent="0.25">
      <c r="A26" t="s">
        <v>612</v>
      </c>
      <c r="B26" t="s">
        <v>405</v>
      </c>
      <c r="C26" s="20">
        <v>1.0640000000000001</v>
      </c>
      <c r="D26" s="48">
        <v>4.194</v>
      </c>
      <c r="E26" s="22">
        <v>4.883</v>
      </c>
      <c r="F26" s="1" t="str">
        <f>HYPERLINK("http://www.ncbi.nlm.nih.gov/pubmed/?term=Cxcl9","Cxcl9")</f>
        <v>Cxcl9</v>
      </c>
    </row>
    <row r="27" spans="1:6" x14ac:dyDescent="0.25">
      <c r="A27" t="s">
        <v>1352</v>
      </c>
      <c r="B27" t="s">
        <v>2160</v>
      </c>
      <c r="C27" s="22">
        <v>4.5460000000000003</v>
      </c>
      <c r="D27" s="22">
        <v>4.9820000000000002</v>
      </c>
      <c r="E27" s="25">
        <v>6.2560000000000002</v>
      </c>
      <c r="F27" s="1" t="str">
        <f>HYPERLINK("http://www.ncbi.nlm.nih.gov/pubmed/?term=Ikbkb","Ikbkb")</f>
        <v>Ikbkb</v>
      </c>
    </row>
    <row r="28" spans="1:6" x14ac:dyDescent="0.25">
      <c r="A28" t="s">
        <v>398</v>
      </c>
      <c r="B28" t="s">
        <v>1629</v>
      </c>
      <c r="C28" s="26">
        <v>0.2616</v>
      </c>
      <c r="D28" s="12">
        <v>1.7629999999999999</v>
      </c>
      <c r="E28" s="48">
        <v>3.8889999999999998</v>
      </c>
      <c r="F28" s="1" t="str">
        <f>HYPERLINK("http://www.ncbi.nlm.nih.gov/pubmed/?term=Ccl22","Ccl22")</f>
        <v>Ccl22</v>
      </c>
    </row>
    <row r="29" spans="1:6" x14ac:dyDescent="0.25">
      <c r="A29" t="s">
        <v>333</v>
      </c>
      <c r="B29" t="s">
        <v>1460</v>
      </c>
      <c r="C29" s="26">
        <v>0.44829999999999998</v>
      </c>
      <c r="D29" s="12">
        <v>2.1360000000000001</v>
      </c>
      <c r="E29" s="48">
        <v>3.8809999999999998</v>
      </c>
      <c r="F29" s="1" t="str">
        <f>HYPERLINK("http://www.ncbi.nlm.nih.gov/pubmed/?term=Pik3cb","Pik3cb")</f>
        <v>Pik3cb</v>
      </c>
    </row>
    <row r="30" spans="1:6" x14ac:dyDescent="0.25">
      <c r="A30" t="s">
        <v>674</v>
      </c>
      <c r="B30" t="s">
        <v>1949</v>
      </c>
      <c r="C30" s="32">
        <v>2.6110000000000002</v>
      </c>
      <c r="D30" s="48">
        <v>4.2789999999999999</v>
      </c>
      <c r="E30" s="29">
        <v>6.8239999999999998</v>
      </c>
      <c r="F30" s="1" t="str">
        <f>HYPERLINK("http://www.ncbi.nlm.nih.gov/pubmed/?term=Rac2","Rac2")</f>
        <v>Rac2</v>
      </c>
    </row>
    <row r="31" spans="1:6" x14ac:dyDescent="0.25">
      <c r="A31" t="s">
        <v>22</v>
      </c>
      <c r="B31" t="s">
        <v>1430</v>
      </c>
      <c r="C31" s="32">
        <v>2.6739999999999999</v>
      </c>
      <c r="D31" s="32">
        <v>3.2469999999999999</v>
      </c>
      <c r="E31" s="22">
        <v>5.35</v>
      </c>
      <c r="F31" s="1" t="str">
        <f>HYPERLINK("http://www.ncbi.nlm.nih.gov/pubmed/?term=Ccl5","Ccl5")</f>
        <v>Ccl5</v>
      </c>
    </row>
    <row r="32" spans="1:6" x14ac:dyDescent="0.25">
      <c r="A32" t="s">
        <v>2060</v>
      </c>
      <c r="B32" t="s">
        <v>495</v>
      </c>
      <c r="C32" s="26">
        <v>-0.63939999999999997</v>
      </c>
      <c r="D32" s="20">
        <v>1.2509999999999999</v>
      </c>
      <c r="E32" s="25">
        <v>5.681</v>
      </c>
      <c r="F32" s="1" t="str">
        <f>HYPERLINK("http://www.ncbi.nlm.nih.gov/pubmed/?term=Ccr7","Ccr7")</f>
        <v>Ccr7</v>
      </c>
    </row>
    <row r="33" spans="1:6" x14ac:dyDescent="0.25">
      <c r="A33" t="s">
        <v>716</v>
      </c>
      <c r="B33" t="s">
        <v>494</v>
      </c>
      <c r="C33" s="26">
        <v>-2.8730000000000002</v>
      </c>
      <c r="D33" s="26">
        <v>-1.768</v>
      </c>
      <c r="E33" s="48">
        <v>4.3019999999999996</v>
      </c>
      <c r="F33" s="1" t="str">
        <f>HYPERLINK("http://www.ncbi.nlm.nih.gov/pubmed/?term=Ccr6","Ccr6")</f>
        <v>Ccr6</v>
      </c>
    </row>
    <row r="34" spans="1:6" x14ac:dyDescent="0.25">
      <c r="A34" t="s">
        <v>1116</v>
      </c>
      <c r="B34" t="s">
        <v>432</v>
      </c>
      <c r="C34" s="20">
        <v>1.321</v>
      </c>
      <c r="D34" s="32">
        <v>3.4740000000000002</v>
      </c>
      <c r="E34" s="48">
        <v>3.508</v>
      </c>
      <c r="F34" s="1" t="str">
        <f>HYPERLINK("http://www.ncbi.nlm.nih.gov/pubmed/?term=Lyn","Lyn")</f>
        <v>Lyn</v>
      </c>
    </row>
    <row r="35" spans="1:6" x14ac:dyDescent="0.25">
      <c r="A35" t="s">
        <v>1375</v>
      </c>
      <c r="B35" t="s">
        <v>416</v>
      </c>
      <c r="C35" s="26">
        <v>0.1993</v>
      </c>
      <c r="D35" s="20">
        <v>1.31</v>
      </c>
      <c r="E35" s="32">
        <v>3.3660000000000001</v>
      </c>
      <c r="F35" s="1" t="str">
        <f>HYPERLINK("http://www.ncbi.nlm.nih.gov/pubmed/?term=Gng2","Gng2")</f>
        <v>Gng2</v>
      </c>
    </row>
    <row r="36" spans="1:6" x14ac:dyDescent="0.25">
      <c r="A36" t="s">
        <v>2013</v>
      </c>
      <c r="B36" t="s">
        <v>493</v>
      </c>
      <c r="C36" s="26">
        <v>-1.0640000000000001</v>
      </c>
      <c r="D36" s="26">
        <v>-3.832E-2</v>
      </c>
      <c r="E36" s="22">
        <v>4.7910000000000004</v>
      </c>
      <c r="F36" s="1" t="str">
        <f>HYPERLINK("http://www.ncbi.nlm.nih.gov/pubmed/?term=Ccr4","Ccr4")</f>
        <v>Ccr4</v>
      </c>
    </row>
    <row r="37" spans="1:6" x14ac:dyDescent="0.25">
      <c r="A37" t="s">
        <v>859</v>
      </c>
      <c r="B37" t="s">
        <v>397</v>
      </c>
      <c r="C37" s="26">
        <v>-1.2170000000000001</v>
      </c>
      <c r="D37" s="12">
        <v>2.4129999999999998</v>
      </c>
      <c r="E37" s="22">
        <v>4.5259999999999998</v>
      </c>
      <c r="F37" s="1" t="str">
        <f>HYPERLINK("http://www.ncbi.nlm.nih.gov/pubmed/?term=Cxcl2","Cxcl2")</f>
        <v>Cxcl2</v>
      </c>
    </row>
    <row r="38" spans="1:6" x14ac:dyDescent="0.25">
      <c r="A38" t="s">
        <v>1336</v>
      </c>
      <c r="B38" t="s">
        <v>895</v>
      </c>
      <c r="C38" s="20">
        <v>0.75729999999999997</v>
      </c>
      <c r="D38" s="48">
        <v>4.1239999999999997</v>
      </c>
      <c r="E38" s="29">
        <v>7.1379999999999999</v>
      </c>
      <c r="F38" s="1" t="str">
        <f>HYPERLINK("http://www.ncbi.nlm.nih.gov/pubmed/?term=Ptk2b","Ptk2b")</f>
        <v>Ptk2b</v>
      </c>
    </row>
    <row r="39" spans="1:6" x14ac:dyDescent="0.25">
      <c r="A39" t="s">
        <v>836</v>
      </c>
      <c r="B39" t="s">
        <v>638</v>
      </c>
      <c r="C39" s="32">
        <v>3.403</v>
      </c>
      <c r="D39" s="48">
        <v>4.1059999999999999</v>
      </c>
      <c r="E39" s="25">
        <v>5.5940000000000003</v>
      </c>
      <c r="F39" s="1" t="str">
        <f>HYPERLINK("http://www.ncbi.nlm.nih.gov/pubmed/?term=Arrb2","Arrb2")</f>
        <v>Arrb2</v>
      </c>
    </row>
    <row r="40" spans="1:6" x14ac:dyDescent="0.25">
      <c r="A40" t="s">
        <v>1442</v>
      </c>
      <c r="B40" t="s">
        <v>560</v>
      </c>
      <c r="C40" s="22">
        <v>4.5259999999999998</v>
      </c>
      <c r="D40" s="25">
        <v>5.5670000000000002</v>
      </c>
      <c r="E40" s="48">
        <v>4.2619999999999996</v>
      </c>
      <c r="F40" s="1" t="str">
        <f>HYPERLINK("http://www.ncbi.nlm.nih.gov/pubmed/?term=Tiam1","Tiam1")</f>
        <v>Tiam1</v>
      </c>
    </row>
    <row r="41" spans="1:6" x14ac:dyDescent="0.25">
      <c r="A41" t="s">
        <v>1334</v>
      </c>
      <c r="B41" t="s">
        <v>5</v>
      </c>
      <c r="C41" s="32">
        <v>3.4769999999999999</v>
      </c>
      <c r="D41" s="48">
        <v>3.6840000000000002</v>
      </c>
      <c r="E41" s="32">
        <v>2.5219999999999998</v>
      </c>
      <c r="F41" s="1" t="str">
        <f>HYPERLINK("http://www.ncbi.nlm.nih.gov/pubmed/?term=Sos1","Sos1")</f>
        <v>Sos1</v>
      </c>
    </row>
    <row r="42" spans="1:6" x14ac:dyDescent="0.25">
      <c r="A42" t="s">
        <v>534</v>
      </c>
      <c r="B42" t="s">
        <v>1534</v>
      </c>
      <c r="C42" s="48">
        <v>3.738</v>
      </c>
      <c r="D42" s="22">
        <v>4.6950000000000003</v>
      </c>
      <c r="E42" s="32">
        <v>3.3279999999999998</v>
      </c>
      <c r="F42" s="1" t="str">
        <f>HYPERLINK("http://www.ncbi.nlm.nih.gov/pubmed/?term=Vav3","Vav3")</f>
        <v>Vav3</v>
      </c>
    </row>
    <row r="43" spans="1:6" x14ac:dyDescent="0.25">
      <c r="A43" t="s">
        <v>1986</v>
      </c>
      <c r="B43" t="s">
        <v>1713</v>
      </c>
      <c r="C43" s="48">
        <v>4.3099999999999996</v>
      </c>
      <c r="D43" s="25">
        <v>5.56</v>
      </c>
      <c r="E43" s="32">
        <v>3.3860000000000001</v>
      </c>
      <c r="F43" s="1" t="str">
        <f>HYPERLINK("http://www.ncbi.nlm.nih.gov/pubmed/?term=Stat2","Stat2")</f>
        <v>Stat2</v>
      </c>
    </row>
    <row r="44" spans="1:6" x14ac:dyDescent="0.25">
      <c r="A44" t="s">
        <v>1476</v>
      </c>
      <c r="B44" t="s">
        <v>1123</v>
      </c>
      <c r="C44" s="48">
        <v>3.8420000000000001</v>
      </c>
      <c r="D44" s="22">
        <v>4.9180000000000001</v>
      </c>
      <c r="E44" s="48">
        <v>3.6480000000000001</v>
      </c>
      <c r="F44" s="1" t="str">
        <f>HYPERLINK("http://www.ncbi.nlm.nih.gov/pubmed/?term=Grk6","Grk6")</f>
        <v>Grk6</v>
      </c>
    </row>
    <row r="45" spans="1:6" x14ac:dyDescent="0.25">
      <c r="A45" t="s">
        <v>1506</v>
      </c>
      <c r="B45" t="s">
        <v>1331</v>
      </c>
      <c r="C45" s="22">
        <v>4.74</v>
      </c>
      <c r="D45" s="48">
        <v>3.9580000000000002</v>
      </c>
      <c r="E45" s="32">
        <v>2.786</v>
      </c>
      <c r="F45" s="1" t="str">
        <f>HYPERLINK("http://www.ncbi.nlm.nih.gov/pubmed/?term=Prkacb","Prkacb")</f>
        <v>Prkacb</v>
      </c>
    </row>
    <row r="46" spans="1:6" x14ac:dyDescent="0.25">
      <c r="A46" t="s">
        <v>233</v>
      </c>
      <c r="B46" t="s">
        <v>1714</v>
      </c>
      <c r="C46" s="29">
        <v>6.734</v>
      </c>
      <c r="D46" s="29">
        <v>6.7110000000000003</v>
      </c>
      <c r="E46" s="22">
        <v>5.4809999999999999</v>
      </c>
      <c r="F46" s="1" t="str">
        <f>HYPERLINK("http://www.ncbi.nlm.nih.gov/pubmed/?term=Stat1","Stat1")</f>
        <v>Stat1</v>
      </c>
    </row>
    <row r="47" spans="1:6" x14ac:dyDescent="0.25">
      <c r="A47" t="s">
        <v>1022</v>
      </c>
      <c r="B47" t="s">
        <v>2202</v>
      </c>
      <c r="C47" s="48">
        <v>3.524</v>
      </c>
      <c r="D47" s="48">
        <v>3.5110000000000001</v>
      </c>
      <c r="E47" s="12">
        <v>2.1949999999999998</v>
      </c>
      <c r="F47" s="1" t="str">
        <f>HYPERLINK("http://www.ncbi.nlm.nih.gov/pubmed/?term=Bcar1","Bcar1")</f>
        <v>Bcar1</v>
      </c>
    </row>
    <row r="48" spans="1:6" x14ac:dyDescent="0.25">
      <c r="A48" t="s">
        <v>329</v>
      </c>
      <c r="B48" t="s">
        <v>54</v>
      </c>
      <c r="C48" s="22">
        <v>5.2060000000000004</v>
      </c>
      <c r="D48" s="22">
        <v>4.9320000000000004</v>
      </c>
      <c r="E48" s="48">
        <v>4.3140000000000001</v>
      </c>
      <c r="F48" s="1" t="str">
        <f>HYPERLINK("http://www.ncbi.nlm.nih.gov/pubmed/?term=Gng12","Gng12")</f>
        <v>Gng12</v>
      </c>
    </row>
    <row r="49" spans="1:6" x14ac:dyDescent="0.25">
      <c r="A49" t="s">
        <v>240</v>
      </c>
      <c r="B49" t="s">
        <v>102</v>
      </c>
      <c r="C49" s="25">
        <v>5.5039999999999996</v>
      </c>
      <c r="D49" s="32">
        <v>3.0409999999999999</v>
      </c>
      <c r="E49" s="32">
        <v>2.7749999999999999</v>
      </c>
      <c r="F49" s="1" t="str">
        <f>HYPERLINK("http://www.ncbi.nlm.nih.gov/pubmed/?term=Foxo3","Foxo3")</f>
        <v>Foxo3</v>
      </c>
    </row>
    <row r="50" spans="1:6" x14ac:dyDescent="0.25">
      <c r="A50" t="s">
        <v>2072</v>
      </c>
      <c r="B50" t="s">
        <v>1589</v>
      </c>
      <c r="C50" s="24">
        <v>8.0980000000000008</v>
      </c>
      <c r="D50" s="12">
        <v>1.8280000000000001</v>
      </c>
      <c r="E50" s="26">
        <v>-1.3660000000000001</v>
      </c>
      <c r="F50" s="1" t="str">
        <f>HYPERLINK("http://www.ncbi.nlm.nih.gov/pubmed/?term=Cxcl12","Cxcl12")</f>
        <v>Cxcl12</v>
      </c>
    </row>
    <row r="51" spans="1:6" x14ac:dyDescent="0.25">
      <c r="A51" t="s">
        <v>104</v>
      </c>
      <c r="B51" t="s">
        <v>2025</v>
      </c>
      <c r="C51" s="48">
        <v>4.0880000000000001</v>
      </c>
      <c r="D51" s="48">
        <v>4.0830000000000002</v>
      </c>
      <c r="E51" s="22">
        <v>5.1139999999999999</v>
      </c>
      <c r="F51" s="1" t="str">
        <f>HYPERLINK("http://www.ncbi.nlm.nih.gov/pubmed/?term=Grk5","Grk5")</f>
        <v>Grk5</v>
      </c>
    </row>
    <row r="52" spans="1:6" x14ac:dyDescent="0.25">
      <c r="A52" t="s">
        <v>1746</v>
      </c>
      <c r="B52" t="s">
        <v>706</v>
      </c>
      <c r="C52" s="20">
        <v>1.1040000000000001</v>
      </c>
      <c r="D52" s="20">
        <v>0.68579999999999997</v>
      </c>
      <c r="E52" s="48">
        <v>3.6360000000000001</v>
      </c>
      <c r="F52" s="1" t="str">
        <f>HYPERLINK("http://www.ncbi.nlm.nih.gov/pubmed/?term=Dock2","Dock2")</f>
        <v>Dock2</v>
      </c>
    </row>
    <row r="53" spans="1:6" x14ac:dyDescent="0.25">
      <c r="A53" t="s">
        <v>482</v>
      </c>
      <c r="B53" t="s">
        <v>44</v>
      </c>
      <c r="C53" s="26">
        <v>7.9680000000000001E-2</v>
      </c>
      <c r="D53" s="26">
        <v>-0.70120000000000005</v>
      </c>
      <c r="E53" s="48">
        <v>3.97</v>
      </c>
      <c r="F53" s="1" t="str">
        <f>HYPERLINK("http://www.ncbi.nlm.nih.gov/pubmed/?term=Adcy1","Adcy1")</f>
        <v>Adcy1</v>
      </c>
    </row>
    <row r="54" spans="1:6" x14ac:dyDescent="0.25">
      <c r="A54" t="s">
        <v>1177</v>
      </c>
      <c r="B54" t="s">
        <v>711</v>
      </c>
      <c r="C54" s="32">
        <v>3.2429999999999999</v>
      </c>
      <c r="D54" s="32">
        <v>2.9780000000000002</v>
      </c>
      <c r="E54" s="22">
        <v>4.7270000000000003</v>
      </c>
      <c r="F54" s="1" t="str">
        <f>HYPERLINK("http://www.ncbi.nlm.nih.gov/pubmed/?term=Stat5b","Stat5b")</f>
        <v>Stat5b</v>
      </c>
    </row>
    <row r="55" spans="1:6" x14ac:dyDescent="0.25">
      <c r="A55" t="s">
        <v>1852</v>
      </c>
      <c r="B55" t="s">
        <v>1070</v>
      </c>
      <c r="C55" s="24">
        <v>7.577</v>
      </c>
      <c r="D55" s="24">
        <v>7.5250000000000004</v>
      </c>
      <c r="E55" s="43">
        <v>9.6739999999999995</v>
      </c>
      <c r="F55" s="1" t="str">
        <f>HYPERLINK("http://www.ncbi.nlm.nih.gov/pubmed/?term=Nfkbia","Nfkbia")</f>
        <v>Nfkbia</v>
      </c>
    </row>
    <row r="56" spans="1:6" x14ac:dyDescent="0.25">
      <c r="A56" t="s">
        <v>1671</v>
      </c>
      <c r="B56" t="s">
        <v>2033</v>
      </c>
      <c r="C56" s="22">
        <v>4.8159999999999998</v>
      </c>
      <c r="D56" s="48">
        <v>4.3280000000000003</v>
      </c>
      <c r="E56" s="29">
        <v>6.96</v>
      </c>
      <c r="F56" s="1" t="str">
        <f>HYPERLINK("http://www.ncbi.nlm.nih.gov/pubmed/?term=Gnb4","Gnb4")</f>
        <v>Gnb4</v>
      </c>
    </row>
    <row r="57" spans="1:6" x14ac:dyDescent="0.25">
      <c r="A57" t="s">
        <v>606</v>
      </c>
      <c r="B57" t="s">
        <v>60</v>
      </c>
      <c r="C57" s="48">
        <v>4.0289999999999999</v>
      </c>
      <c r="D57" s="32">
        <v>2.9289999999999998</v>
      </c>
      <c r="E57" s="48">
        <v>4.0720000000000001</v>
      </c>
      <c r="F57" s="1" t="str">
        <f>HYPERLINK("http://www.ncbi.nlm.nih.gov/pubmed/?term=Cxcl1","Cxcl1")</f>
        <v>Cxcl1</v>
      </c>
    </row>
    <row r="58" spans="1:6" x14ac:dyDescent="0.25">
      <c r="A58" t="s">
        <v>1675</v>
      </c>
      <c r="B58" t="s">
        <v>1069</v>
      </c>
      <c r="C58" s="22">
        <v>4.6070000000000002</v>
      </c>
      <c r="D58" s="48">
        <v>3.927</v>
      </c>
      <c r="E58" s="22">
        <v>5.1689999999999996</v>
      </c>
      <c r="F58" s="1" t="str">
        <f>HYPERLINK("http://www.ncbi.nlm.nih.gov/pubmed/?term=Nfkbib","Nfkbib")</f>
        <v>Nfkbib</v>
      </c>
    </row>
    <row r="59" spans="1:6" x14ac:dyDescent="0.25">
      <c r="A59" t="s">
        <v>1191</v>
      </c>
      <c r="B59" t="s">
        <v>1003</v>
      </c>
      <c r="C59" s="12">
        <v>1.8320000000000001</v>
      </c>
      <c r="D59" s="20">
        <v>1.323</v>
      </c>
      <c r="E59" s="25">
        <v>5.57</v>
      </c>
      <c r="F59" s="1" t="str">
        <f>HYPERLINK("http://www.ncbi.nlm.nih.gov/pubmed/?term=Prex1","Prex1")</f>
        <v>Prex1</v>
      </c>
    </row>
    <row r="60" spans="1:6" x14ac:dyDescent="0.25">
      <c r="A60" t="s">
        <v>973</v>
      </c>
      <c r="B60" t="s">
        <v>1936</v>
      </c>
      <c r="C60" s="22">
        <v>4.9489999999999998</v>
      </c>
      <c r="D60" s="48">
        <v>4.2130000000000001</v>
      </c>
      <c r="E60" s="25">
        <v>5.6050000000000004</v>
      </c>
      <c r="F60" s="1" t="str">
        <f>HYPERLINK("http://www.ncbi.nlm.nih.gov/pubmed/?term=Plcb4","Plcb4")</f>
        <v>Plcb4</v>
      </c>
    </row>
    <row r="61" spans="1:6" x14ac:dyDescent="0.25">
      <c r="A61" t="s">
        <v>159</v>
      </c>
      <c r="B61" t="s">
        <v>1644</v>
      </c>
      <c r="C61" s="29">
        <v>6.5579999999999998</v>
      </c>
      <c r="D61" s="22">
        <v>4.7640000000000002</v>
      </c>
      <c r="E61" s="22">
        <v>5.4039999999999999</v>
      </c>
      <c r="F61" s="1" t="str">
        <f>HYPERLINK("http://www.ncbi.nlm.nih.gov/pubmed/?term=Map2k1","Map2k1")</f>
        <v>Map2k1</v>
      </c>
    </row>
    <row r="62" spans="1:6" x14ac:dyDescent="0.25">
      <c r="A62" t="s">
        <v>121</v>
      </c>
      <c r="B62" t="s">
        <v>1630</v>
      </c>
      <c r="C62" s="43">
        <v>10.93</v>
      </c>
      <c r="D62" s="48">
        <v>3.8620000000000001</v>
      </c>
      <c r="E62" s="46">
        <v>8.8089999999999993</v>
      </c>
      <c r="F62" s="1" t="str">
        <f>HYPERLINK("http://www.ncbi.nlm.nih.gov/pubmed/?term=Ccl25","Ccl25")</f>
        <v>Ccl25</v>
      </c>
    </row>
    <row r="63" spans="1:6" x14ac:dyDescent="0.25">
      <c r="A63" t="s">
        <v>1967</v>
      </c>
      <c r="B63" t="s">
        <v>898</v>
      </c>
      <c r="C63" s="22">
        <v>5.2279999999999998</v>
      </c>
      <c r="D63" s="48">
        <v>3.9319999999999999</v>
      </c>
      <c r="E63" s="48">
        <v>4.4470000000000001</v>
      </c>
      <c r="F63" s="1" t="str">
        <f>HYPERLINK("http://www.ncbi.nlm.nih.gov/pubmed/?term=Kras","Kras")</f>
        <v>Kras</v>
      </c>
    </row>
    <row r="64" spans="1:6" x14ac:dyDescent="0.25">
      <c r="A64" t="s">
        <v>451</v>
      </c>
      <c r="B64" t="s">
        <v>982</v>
      </c>
      <c r="C64" s="46">
        <v>9.1549999999999994</v>
      </c>
      <c r="D64" s="24">
        <v>7.7859999999999996</v>
      </c>
      <c r="E64" s="46">
        <v>9.0220000000000002</v>
      </c>
      <c r="F64" s="1" t="str">
        <f>HYPERLINK("http://www.ncbi.nlm.nih.gov/pubmed/?term=Cxcl10","Cxcl10")</f>
        <v>Cxcl10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436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1971</v>
      </c>
      <c r="B5" t="s">
        <v>671</v>
      </c>
      <c r="C5" s="26">
        <v>-2.4889999999999999</v>
      </c>
      <c r="D5" s="48">
        <v>3.9620000000000002</v>
      </c>
      <c r="E5" s="20">
        <v>1.2070000000000001</v>
      </c>
      <c r="F5" s="1" t="str">
        <f>HYPERLINK("http://www.ncbi.nlm.nih.gov/pubmed/?term=Pgf","Pgf")</f>
        <v>Pgf</v>
      </c>
    </row>
    <row r="6" spans="1:6" x14ac:dyDescent="0.25">
      <c r="A6" t="s">
        <v>1391</v>
      </c>
      <c r="B6" t="s">
        <v>1217</v>
      </c>
      <c r="C6" s="26">
        <v>0.2535</v>
      </c>
      <c r="D6" s="48">
        <v>4.0810000000000004</v>
      </c>
      <c r="E6" s="12">
        <v>1.9830000000000001</v>
      </c>
      <c r="F6" s="1" t="str">
        <f>HYPERLINK("http://www.ncbi.nlm.nih.gov/pubmed/?term=Il17rb","Il17rb")</f>
        <v>Il17rb</v>
      </c>
    </row>
    <row r="7" spans="1:6" x14ac:dyDescent="0.25">
      <c r="A7" t="s">
        <v>1098</v>
      </c>
      <c r="B7" t="s">
        <v>929</v>
      </c>
      <c r="C7" s="26">
        <v>-4.3019999999999996</v>
      </c>
      <c r="D7" s="32">
        <v>3.4460000000000002</v>
      </c>
      <c r="E7" s="12">
        <v>2.1880000000000002</v>
      </c>
      <c r="F7" s="1" t="str">
        <f>HYPERLINK("http://www.ncbi.nlm.nih.gov/pubmed/?term=Il10","Il10")</f>
        <v>Il10</v>
      </c>
    </row>
    <row r="8" spans="1:6" x14ac:dyDescent="0.25">
      <c r="A8" t="s">
        <v>1183</v>
      </c>
      <c r="B8" t="s">
        <v>1427</v>
      </c>
      <c r="C8" s="26">
        <v>-2.7919999999999998</v>
      </c>
      <c r="D8" s="48">
        <v>4.2039999999999997</v>
      </c>
      <c r="E8" s="12">
        <v>1.522</v>
      </c>
      <c r="F8" s="1" t="str">
        <f>HYPERLINK("http://www.ncbi.nlm.nih.gov/pubmed/?term=Ccl6","Ccl6")</f>
        <v>Ccl6</v>
      </c>
    </row>
    <row r="9" spans="1:6" x14ac:dyDescent="0.25">
      <c r="A9" t="s">
        <v>179</v>
      </c>
      <c r="B9" t="s">
        <v>1432</v>
      </c>
      <c r="C9" s="26">
        <v>-1.8540000000000001</v>
      </c>
      <c r="D9" s="48">
        <v>4.1539999999999999</v>
      </c>
      <c r="E9" s="12">
        <v>2.3029999999999999</v>
      </c>
      <c r="F9" s="1" t="str">
        <f>HYPERLINK("http://www.ncbi.nlm.nih.gov/pubmed/?term=Ccl9","Ccl9")</f>
        <v>Ccl9</v>
      </c>
    </row>
    <row r="10" spans="1:6" x14ac:dyDescent="0.25">
      <c r="A10" t="s">
        <v>816</v>
      </c>
      <c r="B10" t="s">
        <v>2067</v>
      </c>
      <c r="C10" s="26">
        <v>-1.4179999999999999</v>
      </c>
      <c r="D10" s="29">
        <v>6.88</v>
      </c>
      <c r="E10" s="48">
        <v>3.6739999999999999</v>
      </c>
      <c r="F10" s="1" t="str">
        <f>HYPERLINK("http://www.ncbi.nlm.nih.gov/pubmed/?term=Ccl11","Ccl11")</f>
        <v>Ccl11</v>
      </c>
    </row>
    <row r="11" spans="1:6" x14ac:dyDescent="0.25">
      <c r="A11" t="s">
        <v>1308</v>
      </c>
      <c r="B11" t="s">
        <v>985</v>
      </c>
      <c r="C11" s="26">
        <v>-3.0179999999999998</v>
      </c>
      <c r="D11" s="22">
        <v>4.8029999999999999</v>
      </c>
      <c r="E11" s="26">
        <v>0.13300000000000001</v>
      </c>
      <c r="F11" s="1" t="str">
        <f>HYPERLINK("http://www.ncbi.nlm.nih.gov/pubmed/?term=Cxcl14","Cxcl14")</f>
        <v>Cxcl14</v>
      </c>
    </row>
    <row r="12" spans="1:6" x14ac:dyDescent="0.25">
      <c r="A12" t="s">
        <v>1413</v>
      </c>
      <c r="B12" t="s">
        <v>221</v>
      </c>
      <c r="C12" s="20">
        <v>1.234</v>
      </c>
      <c r="D12" s="48">
        <v>3.6259999999999999</v>
      </c>
      <c r="E12" s="20">
        <v>1.2729999999999999</v>
      </c>
      <c r="F12" s="1" t="str">
        <f>HYPERLINK("http://www.ncbi.nlm.nih.gov/pubmed/?term=Tnfrsf12a","Tnfrsf12a")</f>
        <v>Tnfrsf12a</v>
      </c>
    </row>
    <row r="13" spans="1:6" x14ac:dyDescent="0.25">
      <c r="A13" t="s">
        <v>552</v>
      </c>
      <c r="B13" t="s">
        <v>1628</v>
      </c>
      <c r="C13" s="26">
        <v>-0.99019999999999997</v>
      </c>
      <c r="D13" s="25">
        <v>5.8730000000000002</v>
      </c>
      <c r="E13" s="22">
        <v>4.5999999999999996</v>
      </c>
      <c r="F13" s="1" t="str">
        <f>HYPERLINK("http://www.ncbi.nlm.nih.gov/pubmed/?term=Ccl20","Ccl20")</f>
        <v>Ccl20</v>
      </c>
    </row>
    <row r="14" spans="1:6" x14ac:dyDescent="0.25">
      <c r="A14" t="s">
        <v>2029</v>
      </c>
      <c r="B14" t="s">
        <v>1738</v>
      </c>
      <c r="C14" s="26">
        <v>-0.31380000000000002</v>
      </c>
      <c r="D14" s="48">
        <v>4.351</v>
      </c>
      <c r="E14" s="12">
        <v>1.8069999999999999</v>
      </c>
      <c r="F14" s="1" t="str">
        <f>HYPERLINK("http://www.ncbi.nlm.nih.gov/pubmed/?term=Tnfsf10","Tnfsf10")</f>
        <v>Tnfsf10</v>
      </c>
    </row>
    <row r="15" spans="1:6" x14ac:dyDescent="0.25">
      <c r="A15" t="s">
        <v>253</v>
      </c>
      <c r="B15" t="s">
        <v>1426</v>
      </c>
      <c r="C15" s="26">
        <v>-3.1030000000000002</v>
      </c>
      <c r="D15" s="48">
        <v>3.8180000000000001</v>
      </c>
      <c r="E15" s="26">
        <v>0.19889999999999999</v>
      </c>
      <c r="F15" s="1" t="str">
        <f>HYPERLINK("http://www.ncbi.nlm.nih.gov/pubmed/?term=Il25","Il25")</f>
        <v>Il25</v>
      </c>
    </row>
    <row r="16" spans="1:6" x14ac:dyDescent="0.25">
      <c r="A16" t="s">
        <v>2114</v>
      </c>
      <c r="B16" t="s">
        <v>872</v>
      </c>
      <c r="C16" s="20">
        <v>0.52259999999999995</v>
      </c>
      <c r="D16" s="20">
        <v>0.83809999999999996</v>
      </c>
      <c r="E16" s="32">
        <v>3.423</v>
      </c>
      <c r="F16" s="1" t="str">
        <f>HYPERLINK("http://www.ncbi.nlm.nih.gov/pubmed/?term=Il12rb1","Il12rb1")</f>
        <v>Il12rb1</v>
      </c>
    </row>
    <row r="17" spans="1:6" x14ac:dyDescent="0.25">
      <c r="A17" t="s">
        <v>1524</v>
      </c>
      <c r="B17" t="s">
        <v>1499</v>
      </c>
      <c r="C17" s="26">
        <v>-3.9929999999999999</v>
      </c>
      <c r="D17" s="26">
        <v>-2.68</v>
      </c>
      <c r="E17" s="32">
        <v>3.4220000000000002</v>
      </c>
      <c r="F17" s="1" t="str">
        <f>HYPERLINK("http://www.ncbi.nlm.nih.gov/pubmed/?term=Il4","Il4")</f>
        <v>Il4</v>
      </c>
    </row>
    <row r="18" spans="1:6" x14ac:dyDescent="0.25">
      <c r="A18" t="s">
        <v>1737</v>
      </c>
      <c r="B18" t="s">
        <v>1333</v>
      </c>
      <c r="C18" s="20">
        <v>1.012</v>
      </c>
      <c r="D18" s="48">
        <v>4.4400000000000004</v>
      </c>
      <c r="E18" s="25">
        <v>5.585</v>
      </c>
      <c r="F18" s="1" t="str">
        <f>HYPERLINK("http://www.ncbi.nlm.nih.gov/pubmed/?term=Relt","Relt")</f>
        <v>Relt</v>
      </c>
    </row>
    <row r="19" spans="1:6" x14ac:dyDescent="0.25">
      <c r="A19" t="s">
        <v>344</v>
      </c>
      <c r="B19" t="s">
        <v>1996</v>
      </c>
      <c r="C19" s="26">
        <v>-1.423</v>
      </c>
      <c r="D19" s="20">
        <v>1.208</v>
      </c>
      <c r="E19" s="25">
        <v>5.6420000000000003</v>
      </c>
      <c r="F19" s="1" t="str">
        <f>HYPERLINK("http://www.ncbi.nlm.nih.gov/pubmed/?term=Cd70","Cd70")</f>
        <v>Cd70</v>
      </c>
    </row>
    <row r="20" spans="1:6" x14ac:dyDescent="0.25">
      <c r="A20" t="s">
        <v>965</v>
      </c>
      <c r="B20" t="s">
        <v>2187</v>
      </c>
      <c r="C20" s="26">
        <v>-2.1800000000000002</v>
      </c>
      <c r="D20" s="20">
        <v>0.97130000000000005</v>
      </c>
      <c r="E20" s="22">
        <v>4.6479999999999997</v>
      </c>
      <c r="F20" s="1" t="str">
        <f>HYPERLINK("http://www.ncbi.nlm.nih.gov/pubmed/?term=Il9r","Il9r")</f>
        <v>Il9r</v>
      </c>
    </row>
    <row r="21" spans="1:6" x14ac:dyDescent="0.25">
      <c r="A21" t="s">
        <v>690</v>
      </c>
      <c r="B21" t="s">
        <v>930</v>
      </c>
      <c r="C21" s="26">
        <v>-1.9550000000000001</v>
      </c>
      <c r="D21" s="26">
        <v>0.14480000000000001</v>
      </c>
      <c r="E21" s="24">
        <v>7.7869999999999999</v>
      </c>
      <c r="F21" s="1" t="str">
        <f>HYPERLINK("http://www.ncbi.nlm.nih.gov/pubmed/?term=Il13","Il13")</f>
        <v>Il13</v>
      </c>
    </row>
    <row r="22" spans="1:6" x14ac:dyDescent="0.25">
      <c r="A22" t="s">
        <v>1523</v>
      </c>
      <c r="B22" t="s">
        <v>30</v>
      </c>
      <c r="C22" s="26">
        <v>-1.6020000000000001</v>
      </c>
      <c r="D22" s="26">
        <v>-0.48089999999999999</v>
      </c>
      <c r="E22" s="48">
        <v>4.0839999999999996</v>
      </c>
      <c r="F22" s="1" t="str">
        <f>HYPERLINK("http://www.ncbi.nlm.nih.gov/pubmed/?term=Gh","Gh")</f>
        <v>Gh</v>
      </c>
    </row>
    <row r="23" spans="1:6" x14ac:dyDescent="0.25">
      <c r="A23" t="s">
        <v>444</v>
      </c>
      <c r="B23" t="s">
        <v>1017</v>
      </c>
      <c r="C23" s="26">
        <v>-2.8849999999999998</v>
      </c>
      <c r="D23" s="26">
        <v>-1.643</v>
      </c>
      <c r="E23" s="48">
        <v>4.41</v>
      </c>
      <c r="F23" s="1" t="str">
        <f>HYPERLINK("http://www.ncbi.nlm.nih.gov/pubmed/?term=Tnfrsf17","Tnfrsf17")</f>
        <v>Tnfrsf17</v>
      </c>
    </row>
    <row r="24" spans="1:6" x14ac:dyDescent="0.25">
      <c r="A24" t="s">
        <v>643</v>
      </c>
      <c r="B24" t="s">
        <v>598</v>
      </c>
      <c r="C24" s="20">
        <v>0.71689999999999998</v>
      </c>
      <c r="D24" s="32">
        <v>2.988</v>
      </c>
      <c r="E24" s="48">
        <v>4.0490000000000004</v>
      </c>
      <c r="F24" s="1" t="str">
        <f>HYPERLINK("http://www.ncbi.nlm.nih.gov/pubmed/?term=Ltb","Ltb")</f>
        <v>Ltb</v>
      </c>
    </row>
    <row r="25" spans="1:6" x14ac:dyDescent="0.25">
      <c r="A25" t="s">
        <v>656</v>
      </c>
      <c r="B25" t="s">
        <v>1049</v>
      </c>
      <c r="C25" s="26">
        <v>-1.929</v>
      </c>
      <c r="D25" s="20">
        <v>0.65049999999999997</v>
      </c>
      <c r="E25" s="48">
        <v>4.242</v>
      </c>
      <c r="F25" s="1" t="str">
        <f>HYPERLINK("http://www.ncbi.nlm.nih.gov/pubmed/?term=Tnf","Tnf")</f>
        <v>Tnf</v>
      </c>
    </row>
    <row r="26" spans="1:6" x14ac:dyDescent="0.25">
      <c r="A26" t="s">
        <v>986</v>
      </c>
      <c r="B26" t="s">
        <v>2073</v>
      </c>
      <c r="C26" s="12">
        <v>2.4039999999999999</v>
      </c>
      <c r="D26" s="48">
        <v>4.0590000000000002</v>
      </c>
      <c r="E26" s="25">
        <v>6.069</v>
      </c>
      <c r="F26" s="1" t="str">
        <f>HYPERLINK("http://www.ncbi.nlm.nih.gov/pubmed/?term=Fas","Fas")</f>
        <v>Fas</v>
      </c>
    </row>
    <row r="27" spans="1:6" x14ac:dyDescent="0.25">
      <c r="A27" t="s">
        <v>779</v>
      </c>
      <c r="B27" t="s">
        <v>1650</v>
      </c>
      <c r="C27" s="26">
        <v>-1.085</v>
      </c>
      <c r="D27" s="48">
        <v>3.79</v>
      </c>
      <c r="E27" s="29">
        <v>6.8739999999999997</v>
      </c>
      <c r="F27" s="1" t="str">
        <f>HYPERLINK("http://www.ncbi.nlm.nih.gov/pubmed/?term=Il23a","Il23a")</f>
        <v>Il23a</v>
      </c>
    </row>
    <row r="28" spans="1:6" x14ac:dyDescent="0.25">
      <c r="A28" t="s">
        <v>1520</v>
      </c>
      <c r="B28" t="s">
        <v>1718</v>
      </c>
      <c r="C28" s="12">
        <v>1.5840000000000001</v>
      </c>
      <c r="D28" s="48">
        <v>4.38</v>
      </c>
      <c r="E28" s="22">
        <v>5.3470000000000004</v>
      </c>
      <c r="F28" s="1" t="str">
        <f>HYPERLINK("http://www.ncbi.nlm.nih.gov/pubmed/?term=Il1r2","Il1r2")</f>
        <v>Il1r2</v>
      </c>
    </row>
    <row r="29" spans="1:6" x14ac:dyDescent="0.25">
      <c r="A29" t="s">
        <v>1830</v>
      </c>
      <c r="B29" t="s">
        <v>747</v>
      </c>
      <c r="C29" s="26">
        <v>-3.5540000000000002E-2</v>
      </c>
      <c r="D29" s="22">
        <v>4.915</v>
      </c>
      <c r="E29" s="25">
        <v>6.1319999999999997</v>
      </c>
      <c r="F29" s="1" t="str">
        <f>HYPERLINK("http://www.ncbi.nlm.nih.gov/pubmed/?term=Tnfrsf11a","Tnfrsf11a")</f>
        <v>Tnfrsf11a</v>
      </c>
    </row>
    <row r="30" spans="1:6" x14ac:dyDescent="0.25">
      <c r="A30" t="s">
        <v>391</v>
      </c>
      <c r="B30" t="s">
        <v>558</v>
      </c>
      <c r="C30" s="26">
        <v>-2.9940000000000002</v>
      </c>
      <c r="D30" s="26">
        <v>-4.1790000000000001E-2</v>
      </c>
      <c r="E30" s="25">
        <v>6.1180000000000003</v>
      </c>
      <c r="F30" s="1" t="str">
        <f>HYPERLINK("http://www.ncbi.nlm.nih.gov/pubmed/?term=Il12a","Il12a")</f>
        <v>Il12a</v>
      </c>
    </row>
    <row r="31" spans="1:6" x14ac:dyDescent="0.25">
      <c r="A31" t="s">
        <v>1084</v>
      </c>
      <c r="B31" t="s">
        <v>1909</v>
      </c>
      <c r="C31" s="26">
        <v>-1.0489999999999999</v>
      </c>
      <c r="D31" s="48">
        <v>3.87</v>
      </c>
      <c r="E31" s="22">
        <v>4.8440000000000003</v>
      </c>
      <c r="F31" s="1" t="str">
        <f>HYPERLINK("http://www.ncbi.nlm.nih.gov/pubmed/?term=Tnfrsf8","Tnfrsf8")</f>
        <v>Tnfrsf8</v>
      </c>
    </row>
    <row r="32" spans="1:6" x14ac:dyDescent="0.25">
      <c r="A32" t="s">
        <v>1864</v>
      </c>
      <c r="B32" t="s">
        <v>1910</v>
      </c>
      <c r="C32" s="26">
        <v>-2.0459999999999998</v>
      </c>
      <c r="D32" s="12">
        <v>1.5620000000000001</v>
      </c>
      <c r="E32" s="25">
        <v>5.7089999999999996</v>
      </c>
      <c r="F32" s="1" t="str">
        <f>HYPERLINK("http://www.ncbi.nlm.nih.gov/pubmed/?term=Tnfrsf9","Tnfrsf9")</f>
        <v>Tnfrsf9</v>
      </c>
    </row>
    <row r="33" spans="1:6" x14ac:dyDescent="0.25">
      <c r="A33" t="s">
        <v>1209</v>
      </c>
      <c r="B33" t="s">
        <v>1911</v>
      </c>
      <c r="C33" s="26">
        <v>-1.8640000000000001</v>
      </c>
      <c r="D33" s="26">
        <v>0.12239999999999999</v>
      </c>
      <c r="E33" s="48">
        <v>3.863</v>
      </c>
      <c r="F33" s="1" t="str">
        <f>HYPERLINK("http://www.ncbi.nlm.nih.gov/pubmed/?term=Tnfrsf4","Tnfrsf4")</f>
        <v>Tnfrsf4</v>
      </c>
    </row>
    <row r="34" spans="1:6" x14ac:dyDescent="0.25">
      <c r="A34" t="s">
        <v>520</v>
      </c>
      <c r="B34" t="s">
        <v>1500</v>
      </c>
      <c r="C34" s="25">
        <v>5.9189999999999996</v>
      </c>
      <c r="D34" s="25">
        <v>6.0350000000000001</v>
      </c>
      <c r="E34" s="29">
        <v>7.2370000000000001</v>
      </c>
      <c r="F34" s="1" t="str">
        <f>HYPERLINK("http://www.ncbi.nlm.nih.gov/pubmed/?term=Il4ra","Il4ra")</f>
        <v>Il4ra</v>
      </c>
    </row>
    <row r="35" spans="1:6" x14ac:dyDescent="0.25">
      <c r="A35" t="s">
        <v>2145</v>
      </c>
      <c r="B35" t="s">
        <v>743</v>
      </c>
      <c r="C35" s="32">
        <v>2.806</v>
      </c>
      <c r="D35" s="32">
        <v>3.2530000000000001</v>
      </c>
      <c r="E35" s="29">
        <v>7.3730000000000002</v>
      </c>
      <c r="F35" s="1" t="str">
        <f>HYPERLINK("http://www.ncbi.nlm.nih.gov/pubmed/?term=Il2rg","Il2rg")</f>
        <v>Il2rg</v>
      </c>
    </row>
    <row r="36" spans="1:6" x14ac:dyDescent="0.25">
      <c r="A36" t="s">
        <v>398</v>
      </c>
      <c r="B36" t="s">
        <v>1629</v>
      </c>
      <c r="C36" s="26">
        <v>0.2616</v>
      </c>
      <c r="D36" s="12">
        <v>1.7629999999999999</v>
      </c>
      <c r="E36" s="48">
        <v>3.8889999999999998</v>
      </c>
      <c r="F36" s="1" t="str">
        <f>HYPERLINK("http://www.ncbi.nlm.nih.gov/pubmed/?term=Ccl22","Ccl22")</f>
        <v>Ccl22</v>
      </c>
    </row>
    <row r="37" spans="1:6" x14ac:dyDescent="0.25">
      <c r="A37" t="s">
        <v>1279</v>
      </c>
      <c r="B37" t="s">
        <v>919</v>
      </c>
      <c r="C37" s="26">
        <v>-2.2109999999999999</v>
      </c>
      <c r="D37" s="26">
        <v>-0.16819999999999999</v>
      </c>
      <c r="E37" s="48">
        <v>3.6920000000000002</v>
      </c>
      <c r="F37" s="1" t="str">
        <f>HYPERLINK("http://www.ncbi.nlm.nih.gov/pubmed/?term=Il10ra","Il10ra")</f>
        <v>Il10ra</v>
      </c>
    </row>
    <row r="38" spans="1:6" x14ac:dyDescent="0.25">
      <c r="A38" t="s">
        <v>22</v>
      </c>
      <c r="B38" t="s">
        <v>1430</v>
      </c>
      <c r="C38" s="32">
        <v>2.6739999999999999</v>
      </c>
      <c r="D38" s="32">
        <v>3.2469999999999999</v>
      </c>
      <c r="E38" s="22">
        <v>5.35</v>
      </c>
      <c r="F38" s="1" t="str">
        <f>HYPERLINK("http://www.ncbi.nlm.nih.gov/pubmed/?term=Ccl5","Ccl5")</f>
        <v>Ccl5</v>
      </c>
    </row>
    <row r="39" spans="1:6" x14ac:dyDescent="0.25">
      <c r="A39" t="s">
        <v>790</v>
      </c>
      <c r="B39" t="s">
        <v>794</v>
      </c>
      <c r="C39" s="26">
        <v>-0.96289999999999998</v>
      </c>
      <c r="D39" s="12">
        <v>1.6919999999999999</v>
      </c>
      <c r="E39" s="22">
        <v>5.4050000000000002</v>
      </c>
      <c r="F39" s="1" t="str">
        <f>HYPERLINK("http://www.ncbi.nlm.nih.gov/pubmed/?term=Tnfsf9","Tnfsf9")</f>
        <v>Tnfsf9</v>
      </c>
    </row>
    <row r="40" spans="1:6" x14ac:dyDescent="0.25">
      <c r="A40" t="s">
        <v>2060</v>
      </c>
      <c r="B40" t="s">
        <v>495</v>
      </c>
      <c r="C40" s="26">
        <v>-0.63939999999999997</v>
      </c>
      <c r="D40" s="20">
        <v>1.2509999999999999</v>
      </c>
      <c r="E40" s="25">
        <v>5.681</v>
      </c>
      <c r="F40" s="1" t="str">
        <f>HYPERLINK("http://www.ncbi.nlm.nih.gov/pubmed/?term=Ccr7","Ccr7")</f>
        <v>Ccr7</v>
      </c>
    </row>
    <row r="41" spans="1:6" x14ac:dyDescent="0.25">
      <c r="A41" t="s">
        <v>716</v>
      </c>
      <c r="B41" t="s">
        <v>494</v>
      </c>
      <c r="C41" s="26">
        <v>-2.8730000000000002</v>
      </c>
      <c r="D41" s="26">
        <v>-1.768</v>
      </c>
      <c r="E41" s="48">
        <v>4.3019999999999996</v>
      </c>
      <c r="F41" s="1" t="str">
        <f>HYPERLINK("http://www.ncbi.nlm.nih.gov/pubmed/?term=Ccr6","Ccr6")</f>
        <v>Ccr6</v>
      </c>
    </row>
    <row r="42" spans="1:6" x14ac:dyDescent="0.25">
      <c r="A42" t="s">
        <v>2013</v>
      </c>
      <c r="B42" t="s">
        <v>493</v>
      </c>
      <c r="C42" s="26">
        <v>-1.0640000000000001</v>
      </c>
      <c r="D42" s="26">
        <v>-3.832E-2</v>
      </c>
      <c r="E42" s="22">
        <v>4.7910000000000004</v>
      </c>
      <c r="F42" s="1" t="str">
        <f>HYPERLINK("http://www.ncbi.nlm.nih.gov/pubmed/?term=Ccr4","Ccr4")</f>
        <v>Ccr4</v>
      </c>
    </row>
    <row r="43" spans="1:6" x14ac:dyDescent="0.25">
      <c r="A43" t="s">
        <v>859</v>
      </c>
      <c r="B43" t="s">
        <v>397</v>
      </c>
      <c r="C43" s="26">
        <v>-1.2170000000000001</v>
      </c>
      <c r="D43" s="12">
        <v>2.4129999999999998</v>
      </c>
      <c r="E43" s="22">
        <v>4.5259999999999998</v>
      </c>
      <c r="F43" s="1" t="str">
        <f>HYPERLINK("http://www.ncbi.nlm.nih.gov/pubmed/?term=Cxcl2","Cxcl2")</f>
        <v>Cxcl2</v>
      </c>
    </row>
    <row r="44" spans="1:6" x14ac:dyDescent="0.25">
      <c r="A44" t="s">
        <v>1762</v>
      </c>
      <c r="B44" t="s">
        <v>748</v>
      </c>
      <c r="C44" s="26">
        <v>-1.2390000000000001</v>
      </c>
      <c r="D44" s="48">
        <v>3.9550000000000001</v>
      </c>
      <c r="E44" s="29">
        <v>6.63</v>
      </c>
      <c r="F44" s="1" t="str">
        <f>HYPERLINK("http://www.ncbi.nlm.nih.gov/pubmed/?term=Tnfrsf11b","Tnfrsf11b")</f>
        <v>Tnfrsf11b</v>
      </c>
    </row>
    <row r="45" spans="1:6" x14ac:dyDescent="0.25">
      <c r="A45" t="s">
        <v>370</v>
      </c>
      <c r="B45" t="s">
        <v>10</v>
      </c>
      <c r="C45" s="12">
        <v>2.4420000000000002</v>
      </c>
      <c r="D45" s="48">
        <v>4.2039999999999997</v>
      </c>
      <c r="E45" s="20">
        <v>1.3340000000000001</v>
      </c>
      <c r="F45" s="1" t="str">
        <f>HYPERLINK("http://www.ncbi.nlm.nih.gov/pubmed/?term=Ngfr","Ngfr")</f>
        <v>Ngfr</v>
      </c>
    </row>
    <row r="46" spans="1:6" x14ac:dyDescent="0.25">
      <c r="A46" t="s">
        <v>1178</v>
      </c>
      <c r="B46" t="s">
        <v>1838</v>
      </c>
      <c r="C46" s="48">
        <v>3.714</v>
      </c>
      <c r="D46" s="48">
        <v>3.7749999999999999</v>
      </c>
      <c r="E46" s="12">
        <v>2.0859999999999999</v>
      </c>
      <c r="F46" s="1" t="str">
        <f>HYPERLINK("http://www.ncbi.nlm.nih.gov/pubmed/?term=Acvr1b","Acvr1b")</f>
        <v>Acvr1b</v>
      </c>
    </row>
    <row r="47" spans="1:6" x14ac:dyDescent="0.25">
      <c r="A47" t="s">
        <v>1747</v>
      </c>
      <c r="B47" t="s">
        <v>1617</v>
      </c>
      <c r="C47" s="48">
        <v>4.47</v>
      </c>
      <c r="D47" s="25">
        <v>5.5170000000000003</v>
      </c>
      <c r="E47" s="48">
        <v>3.8849999999999998</v>
      </c>
      <c r="F47" s="1" t="str">
        <f>HYPERLINK("http://www.ncbi.nlm.nih.gov/pubmed/?term=Ifngr1","Ifngr1")</f>
        <v>Ifngr1</v>
      </c>
    </row>
    <row r="48" spans="1:6" x14ac:dyDescent="0.25">
      <c r="A48" t="s">
        <v>1882</v>
      </c>
      <c r="B48" t="s">
        <v>474</v>
      </c>
      <c r="C48" s="32">
        <v>3.1909999999999998</v>
      </c>
      <c r="D48" s="48">
        <v>4.0170000000000003</v>
      </c>
      <c r="E48" s="20">
        <v>1.3959999999999999</v>
      </c>
      <c r="F48" s="1" t="str">
        <f>HYPERLINK("http://www.ncbi.nlm.nih.gov/pubmed/?term=Tgfb3","Tgfb3")</f>
        <v>Tgfb3</v>
      </c>
    </row>
    <row r="49" spans="1:6" x14ac:dyDescent="0.25">
      <c r="A49" t="s">
        <v>466</v>
      </c>
      <c r="B49" t="s">
        <v>1661</v>
      </c>
      <c r="C49" s="25">
        <v>5.5110000000000001</v>
      </c>
      <c r="D49" s="25">
        <v>5.8159999999999998</v>
      </c>
      <c r="E49" s="32">
        <v>2.956</v>
      </c>
      <c r="F49" s="1" t="str">
        <f>HYPERLINK("http://www.ncbi.nlm.nih.gov/pubmed/?term=Il6st","Il6st")</f>
        <v>Il6st</v>
      </c>
    </row>
    <row r="50" spans="1:6" x14ac:dyDescent="0.25">
      <c r="A50" t="s">
        <v>1987</v>
      </c>
      <c r="B50" t="s">
        <v>1152</v>
      </c>
      <c r="C50" s="48">
        <v>4.1859999999999999</v>
      </c>
      <c r="D50" s="22">
        <v>4.7750000000000004</v>
      </c>
      <c r="E50" s="12">
        <v>1.766</v>
      </c>
      <c r="F50" s="1" t="str">
        <f>HYPERLINK("http://www.ncbi.nlm.nih.gov/pubmed/?term=Osmr","Osmr")</f>
        <v>Osmr</v>
      </c>
    </row>
    <row r="51" spans="1:6" x14ac:dyDescent="0.25">
      <c r="A51" t="s">
        <v>1326</v>
      </c>
      <c r="B51" t="s">
        <v>1699</v>
      </c>
      <c r="C51" s="48">
        <v>4.1829999999999998</v>
      </c>
      <c r="D51" s="22">
        <v>4.7720000000000002</v>
      </c>
      <c r="E51" s="48">
        <v>3.6880000000000002</v>
      </c>
      <c r="F51" s="1" t="str">
        <f>HYPERLINK("http://www.ncbi.nlm.nih.gov/pubmed/?term=Ifnar2","Ifnar2")</f>
        <v>Ifnar2</v>
      </c>
    </row>
    <row r="52" spans="1:6" x14ac:dyDescent="0.25">
      <c r="A52" t="s">
        <v>2117</v>
      </c>
      <c r="B52" t="s">
        <v>445</v>
      </c>
      <c r="C52" s="25">
        <v>5.7670000000000003</v>
      </c>
      <c r="D52" s="25">
        <v>6.37</v>
      </c>
      <c r="E52" s="32">
        <v>2.7650000000000001</v>
      </c>
      <c r="F52" s="1" t="str">
        <f>HYPERLINK("http://www.ncbi.nlm.nih.gov/pubmed/?term=Lifr","Lifr")</f>
        <v>Lifr</v>
      </c>
    </row>
    <row r="53" spans="1:6" x14ac:dyDescent="0.25">
      <c r="A53" t="s">
        <v>1444</v>
      </c>
      <c r="B53" t="s">
        <v>1417</v>
      </c>
      <c r="C53" s="22">
        <v>4.7190000000000003</v>
      </c>
      <c r="D53" s="48">
        <v>4.1989999999999998</v>
      </c>
      <c r="E53" s="32">
        <v>2.794</v>
      </c>
      <c r="F53" s="1" t="str">
        <f>HYPERLINK("http://www.ncbi.nlm.nih.gov/pubmed/?term=Egfr","Egfr")</f>
        <v>Egfr</v>
      </c>
    </row>
    <row r="54" spans="1:6" x14ac:dyDescent="0.25">
      <c r="A54" t="s">
        <v>2076</v>
      </c>
      <c r="B54" t="s">
        <v>1590</v>
      </c>
      <c r="C54" s="22">
        <v>5.1059999999999999</v>
      </c>
      <c r="D54" s="22">
        <v>4.9589999999999996</v>
      </c>
      <c r="E54" s="48">
        <v>3.9870000000000001</v>
      </c>
      <c r="F54" s="1" t="str">
        <f>HYPERLINK("http://www.ncbi.nlm.nih.gov/pubmed/?term=Bmpr1a","Bmpr1a")</f>
        <v>Bmpr1a</v>
      </c>
    </row>
    <row r="55" spans="1:6" x14ac:dyDescent="0.25">
      <c r="A55" t="s">
        <v>2197</v>
      </c>
      <c r="B55" t="s">
        <v>1027</v>
      </c>
      <c r="C55" s="22">
        <v>5.4749999999999996</v>
      </c>
      <c r="D55" s="22">
        <v>5.3170000000000002</v>
      </c>
      <c r="E55" s="48">
        <v>3.907</v>
      </c>
      <c r="F55" s="1" t="str">
        <f>HYPERLINK("http://www.ncbi.nlm.nih.gov/pubmed/?term=Vegfa","Vegfa")</f>
        <v>Vegfa</v>
      </c>
    </row>
    <row r="56" spans="1:6" x14ac:dyDescent="0.25">
      <c r="A56" t="s">
        <v>614</v>
      </c>
      <c r="B56" t="s">
        <v>1273</v>
      </c>
      <c r="C56" s="25">
        <v>6.1040000000000001</v>
      </c>
      <c r="D56" s="22">
        <v>4.5590000000000002</v>
      </c>
      <c r="E56" s="32">
        <v>3.2919999999999998</v>
      </c>
      <c r="F56" s="1" t="str">
        <f>HYPERLINK("http://www.ncbi.nlm.nih.gov/pubmed/?term=Ltbr","Ltbr")</f>
        <v>Ltbr</v>
      </c>
    </row>
    <row r="57" spans="1:6" x14ac:dyDescent="0.25">
      <c r="A57" t="s">
        <v>242</v>
      </c>
      <c r="B57" t="s">
        <v>997</v>
      </c>
      <c r="C57" s="25">
        <v>6.056</v>
      </c>
      <c r="D57" s="22">
        <v>5.3730000000000002</v>
      </c>
      <c r="E57" s="48">
        <v>4.3070000000000004</v>
      </c>
      <c r="F57" s="1" t="str">
        <f>HYPERLINK("http://www.ncbi.nlm.nih.gov/pubmed/?term=Tnfrsf1a","Tnfrsf1a")</f>
        <v>Tnfrsf1a</v>
      </c>
    </row>
    <row r="58" spans="1:6" x14ac:dyDescent="0.25">
      <c r="A58" t="s">
        <v>1312</v>
      </c>
      <c r="B58" t="s">
        <v>1498</v>
      </c>
      <c r="C58" s="29">
        <v>6.6109999999999998</v>
      </c>
      <c r="D58" s="25">
        <v>5.8959999999999999</v>
      </c>
      <c r="E58" s="48">
        <v>4.109</v>
      </c>
      <c r="F58" s="1" t="str">
        <f>HYPERLINK("http://www.ncbi.nlm.nih.gov/pubmed/?term=Il7","Il7")</f>
        <v>Il7</v>
      </c>
    </row>
    <row r="59" spans="1:6" x14ac:dyDescent="0.25">
      <c r="A59" t="s">
        <v>1459</v>
      </c>
      <c r="B59" t="s">
        <v>473</v>
      </c>
      <c r="C59" s="32">
        <v>3.3570000000000002</v>
      </c>
      <c r="D59" s="32">
        <v>2.609</v>
      </c>
      <c r="E59" s="48">
        <v>3.7639999999999998</v>
      </c>
      <c r="F59" s="1" t="str">
        <f>HYPERLINK("http://www.ncbi.nlm.nih.gov/pubmed/?term=Tgfb1","Tgfb1")</f>
        <v>Tgfb1</v>
      </c>
    </row>
    <row r="60" spans="1:6" x14ac:dyDescent="0.25">
      <c r="A60" t="s">
        <v>980</v>
      </c>
      <c r="B60" t="s">
        <v>937</v>
      </c>
      <c r="C60" s="32">
        <v>3.4590000000000001</v>
      </c>
      <c r="D60" s="32">
        <v>2.6850000000000001</v>
      </c>
      <c r="E60" s="48">
        <v>3.9220000000000002</v>
      </c>
      <c r="F60" s="1" t="str">
        <f>HYPERLINK("http://www.ncbi.nlm.nih.gov/pubmed/?term=Il17ra","Il17ra")</f>
        <v>Il17ra</v>
      </c>
    </row>
    <row r="61" spans="1:6" x14ac:dyDescent="0.25">
      <c r="A61" t="s">
        <v>1753</v>
      </c>
      <c r="B61" t="s">
        <v>252</v>
      </c>
      <c r="C61" s="22">
        <v>4.8380000000000001</v>
      </c>
      <c r="D61" s="22">
        <v>4.8330000000000002</v>
      </c>
      <c r="E61" s="29">
        <v>7.3019999999999996</v>
      </c>
      <c r="F61" s="1" t="str">
        <f>HYPERLINK("http://www.ncbi.nlm.nih.gov/pubmed/?term=Cd40","Cd40")</f>
        <v>Cd40</v>
      </c>
    </row>
    <row r="62" spans="1:6" x14ac:dyDescent="0.25">
      <c r="A62" t="s">
        <v>408</v>
      </c>
      <c r="B62" t="s">
        <v>540</v>
      </c>
      <c r="C62" s="48">
        <v>3.67</v>
      </c>
      <c r="D62" s="32">
        <v>3.2509999999999999</v>
      </c>
      <c r="E62" s="22">
        <v>5.1109999999999998</v>
      </c>
      <c r="F62" s="1" t="str">
        <f>HYPERLINK("http://www.ncbi.nlm.nih.gov/pubmed/?term=Tnfrsf10b","Tnfrsf10b")</f>
        <v>Tnfrsf10b</v>
      </c>
    </row>
    <row r="63" spans="1:6" x14ac:dyDescent="0.25">
      <c r="A63" t="s">
        <v>606</v>
      </c>
      <c r="B63" t="s">
        <v>60</v>
      </c>
      <c r="C63" s="48">
        <v>4.0289999999999999</v>
      </c>
      <c r="D63" s="32">
        <v>2.9289999999999998</v>
      </c>
      <c r="E63" s="48">
        <v>4.0720000000000001</v>
      </c>
      <c r="F63" s="1" t="str">
        <f>HYPERLINK("http://www.ncbi.nlm.nih.gov/pubmed/?term=Cxcl1","Cxcl1")</f>
        <v>Cxcl1</v>
      </c>
    </row>
    <row r="64" spans="1:6" x14ac:dyDescent="0.25">
      <c r="A64" t="s">
        <v>524</v>
      </c>
      <c r="B64" t="s">
        <v>1337</v>
      </c>
      <c r="C64" s="20">
        <v>0.82230000000000003</v>
      </c>
      <c r="D64" s="26">
        <v>-0.52549999999999997</v>
      </c>
      <c r="E64" s="22">
        <v>4.952</v>
      </c>
      <c r="F64" s="1" t="str">
        <f>HYPERLINK("http://www.ncbi.nlm.nih.gov/pubmed/?term=Il21r","Il21r")</f>
        <v>Il21r</v>
      </c>
    </row>
    <row r="65" spans="1:6" x14ac:dyDescent="0.25">
      <c r="A65" t="s">
        <v>724</v>
      </c>
      <c r="B65" t="s">
        <v>931</v>
      </c>
      <c r="C65" s="32">
        <v>2.7850000000000001</v>
      </c>
      <c r="D65" s="32">
        <v>2.702</v>
      </c>
      <c r="E65" s="22">
        <v>5.0590000000000002</v>
      </c>
      <c r="F65" s="1" t="str">
        <f>HYPERLINK("http://www.ncbi.nlm.nih.gov/pubmed/?term=Il15","Il15")</f>
        <v>Il15</v>
      </c>
    </row>
    <row r="66" spans="1:6" x14ac:dyDescent="0.25">
      <c r="A66" t="s">
        <v>148</v>
      </c>
      <c r="B66" t="s">
        <v>1018</v>
      </c>
      <c r="C66" s="22">
        <v>5.1420000000000003</v>
      </c>
      <c r="D66" s="48">
        <v>4.2430000000000003</v>
      </c>
      <c r="E66" s="25">
        <v>5.6379999999999999</v>
      </c>
      <c r="F66" s="1" t="str">
        <f>HYPERLINK("http://www.ncbi.nlm.nih.gov/pubmed/?term=Tnfrsf14","Tnfrsf14")</f>
        <v>Tnfrsf14</v>
      </c>
    </row>
    <row r="67" spans="1:6" x14ac:dyDescent="0.25">
      <c r="A67" t="s">
        <v>851</v>
      </c>
      <c r="B67" t="s">
        <v>2092</v>
      </c>
      <c r="C67" s="22">
        <v>5.4390000000000001</v>
      </c>
      <c r="D67" s="20">
        <v>0.98350000000000004</v>
      </c>
      <c r="E67" s="32">
        <v>3.3889999999999998</v>
      </c>
      <c r="F67" s="1" t="str">
        <f>HYPERLINK("http://www.ncbi.nlm.nih.gov/pubmed/?term=Kitl","Kitl")</f>
        <v>Kitl</v>
      </c>
    </row>
    <row r="68" spans="1:6" x14ac:dyDescent="0.25">
      <c r="A68" t="s">
        <v>121</v>
      </c>
      <c r="B68" t="s">
        <v>1630</v>
      </c>
      <c r="C68" s="43">
        <v>10.93</v>
      </c>
      <c r="D68" s="48">
        <v>3.8620000000000001</v>
      </c>
      <c r="E68" s="46">
        <v>8.8089999999999993</v>
      </c>
      <c r="F68" s="1" t="str">
        <f>HYPERLINK("http://www.ncbi.nlm.nih.gov/pubmed/?term=Ccl25","Ccl25")</f>
        <v>Ccl25</v>
      </c>
    </row>
    <row r="69" spans="1:6" x14ac:dyDescent="0.25">
      <c r="A69" t="s">
        <v>451</v>
      </c>
      <c r="B69" t="s">
        <v>982</v>
      </c>
      <c r="C69" s="46">
        <v>9.1549999999999994</v>
      </c>
      <c r="D69" s="24">
        <v>7.7859999999999996</v>
      </c>
      <c r="E69" s="46">
        <v>9.0220000000000002</v>
      </c>
      <c r="F69" s="1" t="str">
        <f>HYPERLINK("http://www.ncbi.nlm.nih.gov/pubmed/?term=Cxcl10","Cxcl10")</f>
        <v>Cxcl10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1606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2016</v>
      </c>
      <c r="B5" t="s">
        <v>1464</v>
      </c>
      <c r="C5" s="26">
        <v>-0.25159999999999999</v>
      </c>
      <c r="D5" s="19">
        <v>4.952</v>
      </c>
      <c r="E5" s="8">
        <v>0.69540000000000002</v>
      </c>
      <c r="F5" s="1" t="str">
        <f>HYPERLINK("http://www.ncbi.nlm.nih.gov/pubmed/?term=Pik3cg","Pik3cg")</f>
        <v>Pik3cg</v>
      </c>
    </row>
    <row r="6" spans="1:6" x14ac:dyDescent="0.25">
      <c r="A6" t="s">
        <v>1335</v>
      </c>
      <c r="B6" t="s">
        <v>1328</v>
      </c>
      <c r="C6" s="8">
        <v>0.53520000000000001</v>
      </c>
      <c r="D6" s="3">
        <v>5.8090000000000002</v>
      </c>
      <c r="E6" s="41">
        <v>2.5489999999999999</v>
      </c>
      <c r="F6" s="1" t="str">
        <f>HYPERLINK("http://www.ncbi.nlm.nih.gov/pubmed/?term=Pik3r5","Pik3r5")</f>
        <v>Pik3r5</v>
      </c>
    </row>
    <row r="7" spans="1:6" x14ac:dyDescent="0.25">
      <c r="A7" t="s">
        <v>2029</v>
      </c>
      <c r="B7" t="s">
        <v>1738</v>
      </c>
      <c r="C7" s="26">
        <v>-0.31380000000000002</v>
      </c>
      <c r="D7" s="15">
        <v>4.351</v>
      </c>
      <c r="E7" s="37">
        <v>1.8069999999999999</v>
      </c>
      <c r="F7" s="1" t="str">
        <f>HYPERLINK("http://www.ncbi.nlm.nih.gov/pubmed/?term=Tnfsf10","Tnfsf10")</f>
        <v>Tnfsf10</v>
      </c>
    </row>
    <row r="8" spans="1:6" x14ac:dyDescent="0.25">
      <c r="A8" t="s">
        <v>538</v>
      </c>
      <c r="B8" t="s">
        <v>1263</v>
      </c>
      <c r="C8" s="19">
        <v>5.3659999999999997</v>
      </c>
      <c r="D8" s="19">
        <v>5.4429999999999996</v>
      </c>
      <c r="E8" s="9">
        <v>7.1589999999999998</v>
      </c>
      <c r="F8" s="1" t="str">
        <f>HYPERLINK("http://www.ncbi.nlm.nih.gov/pubmed/?term=Bax","Bax")</f>
        <v>Bax</v>
      </c>
    </row>
    <row r="9" spans="1:6" x14ac:dyDescent="0.25">
      <c r="A9" t="s">
        <v>1237</v>
      </c>
      <c r="B9" t="s">
        <v>1139</v>
      </c>
      <c r="C9" s="15">
        <v>4.141</v>
      </c>
      <c r="D9" s="15">
        <v>4.1669999999999998</v>
      </c>
      <c r="E9" s="9">
        <v>6.782</v>
      </c>
      <c r="F9" s="1" t="str">
        <f>HYPERLINK("http://www.ncbi.nlm.nih.gov/pubmed/?term=Bcl2l1","Bcl2l1")</f>
        <v>Bcl2l1</v>
      </c>
    </row>
    <row r="10" spans="1:6" x14ac:dyDescent="0.25">
      <c r="A10" t="s">
        <v>656</v>
      </c>
      <c r="B10" t="s">
        <v>1049</v>
      </c>
      <c r="C10" s="26">
        <v>-1.929</v>
      </c>
      <c r="D10" s="8">
        <v>0.65049999999999997</v>
      </c>
      <c r="E10" s="15">
        <v>4.242</v>
      </c>
      <c r="F10" s="1" t="str">
        <f>HYPERLINK("http://www.ncbi.nlm.nih.gov/pubmed/?term=Tnf","Tnf")</f>
        <v>Tnf</v>
      </c>
    </row>
    <row r="11" spans="1:6" x14ac:dyDescent="0.25">
      <c r="A11" t="s">
        <v>986</v>
      </c>
      <c r="B11" t="s">
        <v>2073</v>
      </c>
      <c r="C11" s="37">
        <v>2.4039999999999999</v>
      </c>
      <c r="D11" s="15">
        <v>4.0590000000000002</v>
      </c>
      <c r="E11" s="3">
        <v>6.069</v>
      </c>
      <c r="F11" s="1" t="str">
        <f>HYPERLINK("http://www.ncbi.nlm.nih.gov/pubmed/?term=Fas","Fas")</f>
        <v>Fas</v>
      </c>
    </row>
    <row r="12" spans="1:6" x14ac:dyDescent="0.25">
      <c r="A12" t="s">
        <v>577</v>
      </c>
      <c r="B12" t="s">
        <v>1318</v>
      </c>
      <c r="C12" s="15">
        <v>4.1280000000000001</v>
      </c>
      <c r="D12" s="15">
        <v>4.3479999999999999</v>
      </c>
      <c r="E12" s="19">
        <v>5.4850000000000003</v>
      </c>
      <c r="F12" s="1" t="str">
        <f>HYPERLINK("http://www.ncbi.nlm.nih.gov/pubmed/?term=Traf2","Traf2")</f>
        <v>Traf2</v>
      </c>
    </row>
    <row r="13" spans="1:6" x14ac:dyDescent="0.25">
      <c r="A13" t="s">
        <v>1352</v>
      </c>
      <c r="B13" t="s">
        <v>2160</v>
      </c>
      <c r="C13" s="19">
        <v>4.5460000000000003</v>
      </c>
      <c r="D13" s="19">
        <v>4.9820000000000002</v>
      </c>
      <c r="E13" s="3">
        <v>6.2560000000000002</v>
      </c>
      <c r="F13" s="1" t="str">
        <f>HYPERLINK("http://www.ncbi.nlm.nih.gov/pubmed/?term=Ikbkb","Ikbkb")</f>
        <v>Ikbkb</v>
      </c>
    </row>
    <row r="14" spans="1:6" x14ac:dyDescent="0.25">
      <c r="A14" t="s">
        <v>2042</v>
      </c>
      <c r="B14" t="s">
        <v>1233</v>
      </c>
      <c r="C14" s="3">
        <v>5.5170000000000003</v>
      </c>
      <c r="D14" s="3">
        <v>5.56</v>
      </c>
      <c r="E14" s="9">
        <v>7.3120000000000003</v>
      </c>
      <c r="F14" s="1" t="str">
        <f>HYPERLINK("http://www.ncbi.nlm.nih.gov/pubmed/?term=Birc3","Birc3")</f>
        <v>Birc3</v>
      </c>
    </row>
    <row r="15" spans="1:6" x14ac:dyDescent="0.25">
      <c r="A15" t="s">
        <v>333</v>
      </c>
      <c r="B15" t="s">
        <v>1460</v>
      </c>
      <c r="C15" s="26">
        <v>0.44829999999999998</v>
      </c>
      <c r="D15" s="37">
        <v>2.1360000000000001</v>
      </c>
      <c r="E15" s="15">
        <v>3.8809999999999998</v>
      </c>
      <c r="F15" s="1" t="str">
        <f>HYPERLINK("http://www.ncbi.nlm.nih.gov/pubmed/?term=Pik3cb","Pik3cb")</f>
        <v>Pik3cb</v>
      </c>
    </row>
    <row r="16" spans="1:6" x14ac:dyDescent="0.25">
      <c r="A16" t="s">
        <v>697</v>
      </c>
      <c r="B16" t="s">
        <v>1872</v>
      </c>
      <c r="C16" s="37">
        <v>1.913</v>
      </c>
      <c r="D16" s="41">
        <v>3.3650000000000002</v>
      </c>
      <c r="E16" s="19">
        <v>5.35</v>
      </c>
      <c r="F16" s="1" t="str">
        <f>HYPERLINK("http://www.ncbi.nlm.nih.gov/pubmed/?term=Irak2","Irak2")</f>
        <v>Irak2</v>
      </c>
    </row>
    <row r="17" spans="1:6" x14ac:dyDescent="0.25">
      <c r="A17" t="s">
        <v>76</v>
      </c>
      <c r="B17" t="s">
        <v>1929</v>
      </c>
      <c r="C17" s="26">
        <v>-1.415</v>
      </c>
      <c r="D17" s="15">
        <v>3.9209999999999998</v>
      </c>
      <c r="E17" s="19">
        <v>4.726</v>
      </c>
      <c r="F17" s="1" t="str">
        <f>HYPERLINK("http://www.ncbi.nlm.nih.gov/pubmed/?term=Csf2rb","Csf2rb")</f>
        <v>Csf2rb</v>
      </c>
    </row>
    <row r="18" spans="1:6" x14ac:dyDescent="0.25">
      <c r="A18" t="s">
        <v>79</v>
      </c>
      <c r="B18" t="s">
        <v>1269</v>
      </c>
      <c r="C18" s="26">
        <v>-1.875</v>
      </c>
      <c r="D18" s="41">
        <v>3.024</v>
      </c>
      <c r="E18" s="15">
        <v>3.8969999999999998</v>
      </c>
      <c r="F18" s="1" t="str">
        <f>HYPERLINK("http://www.ncbi.nlm.nih.gov/pubmed/?term=Csf2rb2","Csf2rb2")</f>
        <v>Csf2rb2</v>
      </c>
    </row>
    <row r="19" spans="1:6" x14ac:dyDescent="0.25">
      <c r="A19" t="s">
        <v>539</v>
      </c>
      <c r="B19" t="s">
        <v>282</v>
      </c>
      <c r="C19" s="8">
        <v>0.78210000000000002</v>
      </c>
      <c r="D19" s="15">
        <v>3.5329999999999999</v>
      </c>
      <c r="E19" s="26">
        <v>5.2080000000000001E-2</v>
      </c>
      <c r="F19" s="1" t="str">
        <f>HYPERLINK("http://www.ncbi.nlm.nih.gov/pubmed/?term=Irak3","Irak3")</f>
        <v>Irak3</v>
      </c>
    </row>
    <row r="20" spans="1:6" x14ac:dyDescent="0.25">
      <c r="A20" t="s">
        <v>922</v>
      </c>
      <c r="B20" t="s">
        <v>2002</v>
      </c>
      <c r="C20" s="15">
        <v>3.9580000000000002</v>
      </c>
      <c r="D20" s="19">
        <v>4.5739999999999998</v>
      </c>
      <c r="E20" s="8">
        <v>0.68830000000000002</v>
      </c>
      <c r="F20" s="1" t="str">
        <f>HYPERLINK("http://www.ncbi.nlm.nih.gov/pubmed/?term=Casp12","Casp12")</f>
        <v>Casp12</v>
      </c>
    </row>
    <row r="21" spans="1:6" x14ac:dyDescent="0.25">
      <c r="A21" t="s">
        <v>1506</v>
      </c>
      <c r="B21" t="s">
        <v>1331</v>
      </c>
      <c r="C21" s="19">
        <v>4.74</v>
      </c>
      <c r="D21" s="15">
        <v>3.9580000000000002</v>
      </c>
      <c r="E21" s="41">
        <v>2.786</v>
      </c>
      <c r="F21" s="1" t="str">
        <f>HYPERLINK("http://www.ncbi.nlm.nih.gov/pubmed/?term=Prkacb","Prkacb")</f>
        <v>Prkacb</v>
      </c>
    </row>
    <row r="22" spans="1:6" x14ac:dyDescent="0.25">
      <c r="A22" t="s">
        <v>1108</v>
      </c>
      <c r="B22" t="s">
        <v>358</v>
      </c>
      <c r="C22" s="9">
        <v>7.0309999999999997</v>
      </c>
      <c r="D22" s="3">
        <v>6.1920000000000002</v>
      </c>
      <c r="E22" s="3">
        <v>5.9320000000000004</v>
      </c>
      <c r="F22" s="1" t="str">
        <f>HYPERLINK("http://www.ncbi.nlm.nih.gov/pubmed/?term=Prkar1a","Prkar1a")</f>
        <v>Prkar1a</v>
      </c>
    </row>
    <row r="23" spans="1:6" x14ac:dyDescent="0.25">
      <c r="A23" t="s">
        <v>521</v>
      </c>
      <c r="B23" t="s">
        <v>805</v>
      </c>
      <c r="C23" s="9">
        <v>6.6260000000000003</v>
      </c>
      <c r="D23" s="19">
        <v>4.9619999999999997</v>
      </c>
      <c r="E23" s="19">
        <v>4.5250000000000004</v>
      </c>
      <c r="F23" s="1" t="str">
        <f>HYPERLINK("http://www.ncbi.nlm.nih.gov/pubmed/?term=Capn1","Capn1")</f>
        <v>Capn1</v>
      </c>
    </row>
    <row r="24" spans="1:6" x14ac:dyDescent="0.25">
      <c r="A24" t="s">
        <v>242</v>
      </c>
      <c r="B24" t="s">
        <v>997</v>
      </c>
      <c r="C24" s="3">
        <v>6.056</v>
      </c>
      <c r="D24" s="19">
        <v>5.3730000000000002</v>
      </c>
      <c r="E24" s="15">
        <v>4.3070000000000004</v>
      </c>
      <c r="F24" s="1" t="str">
        <f>HYPERLINK("http://www.ncbi.nlm.nih.gov/pubmed/?term=Tnfrsf1a","Tnfrsf1a")</f>
        <v>Tnfrsf1a</v>
      </c>
    </row>
    <row r="25" spans="1:6" x14ac:dyDescent="0.25">
      <c r="A25" t="s">
        <v>1205</v>
      </c>
      <c r="B25" t="s">
        <v>1329</v>
      </c>
      <c r="C25" s="3">
        <v>5.6820000000000004</v>
      </c>
      <c r="D25" s="19">
        <v>5.0220000000000002</v>
      </c>
      <c r="E25" s="19">
        <v>4.7060000000000004</v>
      </c>
      <c r="F25" s="1" t="str">
        <f>HYPERLINK("http://www.ncbi.nlm.nih.gov/pubmed/?term=Pik3r2","Pik3r2")</f>
        <v>Pik3r2</v>
      </c>
    </row>
    <row r="26" spans="1:6" x14ac:dyDescent="0.25">
      <c r="A26" t="s">
        <v>731</v>
      </c>
      <c r="B26" t="s">
        <v>1330</v>
      </c>
      <c r="C26" s="19">
        <v>4.9180000000000001</v>
      </c>
      <c r="D26" s="19">
        <v>4.8079999999999998</v>
      </c>
      <c r="E26" s="15">
        <v>3.7410000000000001</v>
      </c>
      <c r="F26" s="1" t="str">
        <f>HYPERLINK("http://www.ncbi.nlm.nih.gov/pubmed/?term=Pik3r1","Pik3r1")</f>
        <v>Pik3r1</v>
      </c>
    </row>
    <row r="27" spans="1:6" x14ac:dyDescent="0.25">
      <c r="A27" t="s">
        <v>2024</v>
      </c>
      <c r="B27" t="s">
        <v>15</v>
      </c>
      <c r="C27" s="15">
        <v>3.827</v>
      </c>
      <c r="D27" s="41">
        <v>2.8050000000000002</v>
      </c>
      <c r="E27" s="37">
        <v>2.2109999999999999</v>
      </c>
      <c r="F27" s="1" t="str">
        <f>HYPERLINK("http://www.ncbi.nlm.nih.gov/pubmed/?term=Bcl2","Bcl2")</f>
        <v>Bcl2</v>
      </c>
    </row>
    <row r="28" spans="1:6" x14ac:dyDescent="0.25">
      <c r="A28" t="s">
        <v>1942</v>
      </c>
      <c r="B28" t="s">
        <v>506</v>
      </c>
      <c r="C28" s="19">
        <v>4.665</v>
      </c>
      <c r="D28" s="15">
        <v>4.1630000000000003</v>
      </c>
      <c r="E28" s="19">
        <v>5.266</v>
      </c>
      <c r="F28" s="1" t="str">
        <f>HYPERLINK("http://www.ncbi.nlm.nih.gov/pubmed/?term=Map3k14","Map3k14")</f>
        <v>Map3k14</v>
      </c>
    </row>
    <row r="29" spans="1:6" x14ac:dyDescent="0.25">
      <c r="A29" t="s">
        <v>1852</v>
      </c>
      <c r="B29" t="s">
        <v>1070</v>
      </c>
      <c r="C29" s="39">
        <v>7.577</v>
      </c>
      <c r="D29" s="39">
        <v>7.5250000000000004</v>
      </c>
      <c r="E29" s="43">
        <v>9.6739999999999995</v>
      </c>
      <c r="F29" s="1" t="str">
        <f>HYPERLINK("http://www.ncbi.nlm.nih.gov/pubmed/?term=Nfkbia","Nfkbia")</f>
        <v>Nfkbia</v>
      </c>
    </row>
    <row r="30" spans="1:6" x14ac:dyDescent="0.25">
      <c r="A30" t="s">
        <v>408</v>
      </c>
      <c r="B30" t="s">
        <v>540</v>
      </c>
      <c r="C30" s="15">
        <v>3.67</v>
      </c>
      <c r="D30" s="41">
        <v>3.2509999999999999</v>
      </c>
      <c r="E30" s="19">
        <v>5.1109999999999998</v>
      </c>
      <c r="F30" s="1" t="str">
        <f>HYPERLINK("http://www.ncbi.nlm.nih.gov/pubmed/?term=Tnfrsf10b","Tnfrsf10b")</f>
        <v>Tnfrsf10b</v>
      </c>
    </row>
    <row r="31" spans="1:6" x14ac:dyDescent="0.25">
      <c r="A31" t="s">
        <v>304</v>
      </c>
      <c r="B31" t="s">
        <v>1088</v>
      </c>
      <c r="C31" s="19">
        <v>4.7640000000000002</v>
      </c>
      <c r="D31" s="19">
        <v>4.665</v>
      </c>
      <c r="E31" s="3">
        <v>6.202</v>
      </c>
      <c r="F31" s="1" t="str">
        <f>HYPERLINK("http://www.ncbi.nlm.nih.gov/pubmed/?term=Cflar","Cflar")</f>
        <v>Cflar</v>
      </c>
    </row>
    <row r="32" spans="1:6" x14ac:dyDescent="0.25">
      <c r="A32" t="s">
        <v>427</v>
      </c>
      <c r="B32" t="s">
        <v>1234</v>
      </c>
      <c r="C32" s="19">
        <v>5.4820000000000002</v>
      </c>
      <c r="D32" s="19">
        <v>5.2619999999999996</v>
      </c>
      <c r="E32" s="3">
        <v>6.2539999999999996</v>
      </c>
      <c r="F32" s="1" t="str">
        <f>HYPERLINK("http://www.ncbi.nlm.nih.gov/pubmed/?term=Birc2","Birc2")</f>
        <v>Birc2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461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1759</v>
      </c>
      <c r="B5" t="s">
        <v>1743</v>
      </c>
      <c r="C5" s="36">
        <v>1.5329999999999999</v>
      </c>
      <c r="D5" s="42">
        <v>4.2919999999999998</v>
      </c>
      <c r="E5" s="47">
        <v>3.46</v>
      </c>
      <c r="F5" s="1" t="str">
        <f>HYPERLINK("http://www.ncbi.nlm.nih.gov/pubmed/?term=Timp1","Timp1")</f>
        <v>Timp1</v>
      </c>
    </row>
    <row r="6" spans="1:6" x14ac:dyDescent="0.25">
      <c r="A6" t="s">
        <v>1971</v>
      </c>
      <c r="B6" t="s">
        <v>671</v>
      </c>
      <c r="C6" s="26">
        <v>-2.4889999999999999</v>
      </c>
      <c r="D6" s="42">
        <v>3.9620000000000002</v>
      </c>
      <c r="E6" s="14">
        <v>1.2070000000000001</v>
      </c>
      <c r="F6" s="1" t="str">
        <f>HYPERLINK("http://www.ncbi.nlm.nih.gov/pubmed/?term=Pgf","Pgf")</f>
        <v>Pgf</v>
      </c>
    </row>
    <row r="7" spans="1:6" x14ac:dyDescent="0.25">
      <c r="A7" t="s">
        <v>2016</v>
      </c>
      <c r="B7" t="s">
        <v>1464</v>
      </c>
      <c r="C7" s="26">
        <v>-0.25159999999999999</v>
      </c>
      <c r="D7" s="27">
        <v>4.952</v>
      </c>
      <c r="E7" s="14">
        <v>0.69540000000000002</v>
      </c>
      <c r="F7" s="1" t="str">
        <f>HYPERLINK("http://www.ncbi.nlm.nih.gov/pubmed/?term=Pik3cg","Pik3cg")</f>
        <v>Pik3cg</v>
      </c>
    </row>
    <row r="8" spans="1:6" x14ac:dyDescent="0.25">
      <c r="A8" t="s">
        <v>1335</v>
      </c>
      <c r="B8" t="s">
        <v>1328</v>
      </c>
      <c r="C8" s="14">
        <v>0.53520000000000001</v>
      </c>
      <c r="D8" s="28">
        <v>5.8090000000000002</v>
      </c>
      <c r="E8" s="47">
        <v>2.5489999999999999</v>
      </c>
      <c r="F8" s="1" t="str">
        <f>HYPERLINK("http://www.ncbi.nlm.nih.gov/pubmed/?term=Pik3r5","Pik3r5")</f>
        <v>Pik3r5</v>
      </c>
    </row>
    <row r="9" spans="1:6" x14ac:dyDescent="0.25">
      <c r="A9" t="s">
        <v>377</v>
      </c>
      <c r="B9" t="s">
        <v>792</v>
      </c>
      <c r="C9" s="47">
        <v>2.9260000000000002</v>
      </c>
      <c r="D9" s="27">
        <v>4.5540000000000003</v>
      </c>
      <c r="E9" s="42">
        <v>4.1769999999999996</v>
      </c>
      <c r="F9" s="1" t="str">
        <f>HYPERLINK("http://www.ncbi.nlm.nih.gov/pubmed/?term=Pfkfb3","Pfkfb3")</f>
        <v>Pfkfb3</v>
      </c>
    </row>
    <row r="10" spans="1:6" x14ac:dyDescent="0.25">
      <c r="A10" t="s">
        <v>276</v>
      </c>
      <c r="B10" t="s">
        <v>1181</v>
      </c>
      <c r="C10" s="47">
        <v>2.7959999999999998</v>
      </c>
      <c r="D10" s="27">
        <v>4.8380000000000001</v>
      </c>
      <c r="E10" s="47">
        <v>3.4089999999999998</v>
      </c>
      <c r="F10" s="1" t="str">
        <f>HYPERLINK("http://www.ncbi.nlm.nih.gov/pubmed/?term=Plcg2","Plcg2")</f>
        <v>Plcg2</v>
      </c>
    </row>
    <row r="11" spans="1:6" x14ac:dyDescent="0.25">
      <c r="A11" t="s">
        <v>1955</v>
      </c>
      <c r="B11" t="s">
        <v>459</v>
      </c>
      <c r="C11" s="47">
        <v>2.879</v>
      </c>
      <c r="D11" s="27">
        <v>4.8049999999999997</v>
      </c>
      <c r="E11" s="42">
        <v>4.1870000000000003</v>
      </c>
      <c r="F11" s="1" t="str">
        <f>HYPERLINK("http://www.ncbi.nlm.nih.gov/pubmed/?term=Hk1","Hk1")</f>
        <v>Hk1</v>
      </c>
    </row>
    <row r="12" spans="1:6" x14ac:dyDescent="0.25">
      <c r="A12" t="s">
        <v>1382</v>
      </c>
      <c r="B12" t="s">
        <v>440</v>
      </c>
      <c r="C12" s="26">
        <v>-1.218</v>
      </c>
      <c r="D12" s="42">
        <v>3.7610000000000001</v>
      </c>
      <c r="E12" s="47">
        <v>3.367</v>
      </c>
      <c r="F12" s="1" t="str">
        <f>HYPERLINK("http://www.ncbi.nlm.nih.gov/pubmed/?term=Camk2b","Camk2b")</f>
        <v>Camk2b</v>
      </c>
    </row>
    <row r="13" spans="1:6" x14ac:dyDescent="0.25">
      <c r="A13" t="s">
        <v>390</v>
      </c>
      <c r="B13" t="s">
        <v>1712</v>
      </c>
      <c r="C13" s="28">
        <v>5.78</v>
      </c>
      <c r="D13" s="43">
        <v>6.601</v>
      </c>
      <c r="E13" s="43">
        <v>7.68</v>
      </c>
      <c r="F13" s="1" t="str">
        <f>HYPERLINK("http://www.ncbi.nlm.nih.gov/pubmed/?term=Stat3","Stat3")</f>
        <v>Stat3</v>
      </c>
    </row>
    <row r="14" spans="1:6" x14ac:dyDescent="0.25">
      <c r="A14" t="s">
        <v>316</v>
      </c>
      <c r="B14" t="s">
        <v>1055</v>
      </c>
      <c r="C14" s="26">
        <v>-0.1326</v>
      </c>
      <c r="D14" s="47">
        <v>2.556</v>
      </c>
      <c r="E14" s="28">
        <v>5.6550000000000002</v>
      </c>
      <c r="F14" s="1" t="str">
        <f>HYPERLINK("http://www.ncbi.nlm.nih.gov/pubmed/?term=Eno2","Eno2")</f>
        <v>Eno2</v>
      </c>
    </row>
    <row r="15" spans="1:6" x14ac:dyDescent="0.25">
      <c r="A15" t="s">
        <v>205</v>
      </c>
      <c r="B15" t="s">
        <v>1347</v>
      </c>
      <c r="C15" s="42">
        <v>3.8980000000000001</v>
      </c>
      <c r="D15" s="42">
        <v>4.1719999999999997</v>
      </c>
      <c r="E15" s="27">
        <v>5.1449999999999996</v>
      </c>
      <c r="F15" s="1" t="str">
        <f>HYPERLINK("http://www.ncbi.nlm.nih.gov/pubmed/?term=Hmox1","Hmox1")</f>
        <v>Hmox1</v>
      </c>
    </row>
    <row r="16" spans="1:6" x14ac:dyDescent="0.25">
      <c r="A16" t="s">
        <v>366</v>
      </c>
      <c r="B16" t="s">
        <v>483</v>
      </c>
      <c r="C16" s="47">
        <v>3.0409999999999999</v>
      </c>
      <c r="D16" s="47">
        <v>3.34</v>
      </c>
      <c r="E16" s="27">
        <v>4.9909999999999997</v>
      </c>
      <c r="F16" s="1" t="str">
        <f>HYPERLINK("http://www.ncbi.nlm.nih.gov/pubmed/?term=Insr","Insr")</f>
        <v>Insr</v>
      </c>
    </row>
    <row r="17" spans="1:6" x14ac:dyDescent="0.25">
      <c r="A17" t="s">
        <v>1682</v>
      </c>
      <c r="B17" t="s">
        <v>1484</v>
      </c>
      <c r="C17" s="26">
        <v>-2.44</v>
      </c>
      <c r="D17" s="36">
        <v>1.6619999999999999</v>
      </c>
      <c r="E17" s="27">
        <v>4.766</v>
      </c>
      <c r="F17" s="1" t="str">
        <f>HYPERLINK("http://www.ncbi.nlm.nih.gov/pubmed/?term=Cybb","Cybb")</f>
        <v>Cybb</v>
      </c>
    </row>
    <row r="18" spans="1:6" x14ac:dyDescent="0.25">
      <c r="A18" t="s">
        <v>1291</v>
      </c>
      <c r="B18" t="s">
        <v>681</v>
      </c>
      <c r="C18" s="26">
        <v>-1.431</v>
      </c>
      <c r="D18" s="47">
        <v>2.6589999999999998</v>
      </c>
      <c r="E18" s="27">
        <v>4.5880000000000001</v>
      </c>
      <c r="F18" s="1" t="str">
        <f>HYPERLINK("http://www.ncbi.nlm.nih.gov/pubmed/?term=Igf1","Igf1")</f>
        <v>Igf1</v>
      </c>
    </row>
    <row r="19" spans="1:6" x14ac:dyDescent="0.25">
      <c r="A19" t="s">
        <v>2</v>
      </c>
      <c r="B19" t="s">
        <v>1731</v>
      </c>
      <c r="C19" s="27">
        <v>4.9000000000000004</v>
      </c>
      <c r="D19" s="27">
        <v>5.2220000000000004</v>
      </c>
      <c r="E19" s="28">
        <v>6.2359999999999998</v>
      </c>
      <c r="F19" s="1" t="str">
        <f>HYPERLINK("http://www.ncbi.nlm.nih.gov/pubmed/?term=Mknk2","Mknk2")</f>
        <v>Mknk2</v>
      </c>
    </row>
    <row r="20" spans="1:6" x14ac:dyDescent="0.25">
      <c r="A20" t="s">
        <v>1173</v>
      </c>
      <c r="B20" t="s">
        <v>1060</v>
      </c>
      <c r="C20" s="26">
        <v>-1.2470000000000001</v>
      </c>
      <c r="D20" s="36">
        <v>2.052</v>
      </c>
      <c r="E20" s="43">
        <v>7.4489999999999998</v>
      </c>
      <c r="F20" s="1" t="str">
        <f>HYPERLINK("http://www.ncbi.nlm.nih.gov/pubmed/?term=Nos2","Nos2")</f>
        <v>Nos2</v>
      </c>
    </row>
    <row r="21" spans="1:6" x14ac:dyDescent="0.25">
      <c r="A21" t="s">
        <v>1487</v>
      </c>
      <c r="B21" t="s">
        <v>1618</v>
      </c>
      <c r="C21" s="42">
        <v>4.0289999999999999</v>
      </c>
      <c r="D21" s="27">
        <v>4.91</v>
      </c>
      <c r="E21" s="27">
        <v>5.2249999999999996</v>
      </c>
      <c r="F21" s="1" t="str">
        <f>HYPERLINK("http://www.ncbi.nlm.nih.gov/pubmed/?term=Ifngr2","Ifngr2")</f>
        <v>Ifngr2</v>
      </c>
    </row>
    <row r="22" spans="1:6" x14ac:dyDescent="0.25">
      <c r="A22" t="s">
        <v>567</v>
      </c>
      <c r="B22" t="s">
        <v>1580</v>
      </c>
      <c r="C22" s="42">
        <v>3.569</v>
      </c>
      <c r="D22" s="28">
        <v>5.556</v>
      </c>
      <c r="E22" s="28">
        <v>6.1470000000000002</v>
      </c>
      <c r="F22" s="1" t="str">
        <f>HYPERLINK("http://www.ncbi.nlm.nih.gov/pubmed/?term=Cdkn1a","Cdkn1a")</f>
        <v>Cdkn1a</v>
      </c>
    </row>
    <row r="23" spans="1:6" x14ac:dyDescent="0.25">
      <c r="A23" t="s">
        <v>441</v>
      </c>
      <c r="B23" t="s">
        <v>1931</v>
      </c>
      <c r="C23" s="47">
        <v>3.1080000000000001</v>
      </c>
      <c r="D23" s="42">
        <v>3.96</v>
      </c>
      <c r="E23" s="42">
        <v>4.4850000000000003</v>
      </c>
      <c r="F23" s="1" t="str">
        <f>HYPERLINK("http://www.ncbi.nlm.nih.gov/pubmed/?term=Slc2a1","Slc2a1")</f>
        <v>Slc2a1</v>
      </c>
    </row>
    <row r="24" spans="1:6" x14ac:dyDescent="0.25">
      <c r="A24" t="s">
        <v>333</v>
      </c>
      <c r="B24" t="s">
        <v>1460</v>
      </c>
      <c r="C24" s="26">
        <v>0.44829999999999998</v>
      </c>
      <c r="D24" s="36">
        <v>2.1360000000000001</v>
      </c>
      <c r="E24" s="42">
        <v>3.8809999999999998</v>
      </c>
      <c r="F24" s="1" t="str">
        <f>HYPERLINK("http://www.ncbi.nlm.nih.gov/pubmed/?term=Pik3cb","Pik3cb")</f>
        <v>Pik3cb</v>
      </c>
    </row>
    <row r="25" spans="1:6" x14ac:dyDescent="0.25">
      <c r="A25" t="s">
        <v>974</v>
      </c>
      <c r="B25" t="s">
        <v>419</v>
      </c>
      <c r="C25" s="26">
        <v>-1.907</v>
      </c>
      <c r="D25" s="14">
        <v>1.2869999999999999</v>
      </c>
      <c r="E25" s="28">
        <v>6.4770000000000003</v>
      </c>
      <c r="F25" s="1" t="str">
        <f>HYPERLINK("http://www.ncbi.nlm.nih.gov/pubmed/?term=Trf","Trf")</f>
        <v>Trf</v>
      </c>
    </row>
    <row r="26" spans="1:6" x14ac:dyDescent="0.25">
      <c r="A26" t="s">
        <v>707</v>
      </c>
      <c r="B26" t="s">
        <v>1198</v>
      </c>
      <c r="C26" s="26">
        <v>-0.31469999999999998</v>
      </c>
      <c r="D26" s="47">
        <v>3.1179999999999999</v>
      </c>
      <c r="E26" s="42">
        <v>3.6549999999999998</v>
      </c>
      <c r="F26" s="1" t="str">
        <f>HYPERLINK("http://www.ncbi.nlm.nih.gov/pubmed/?term=Serpine1","Serpine1")</f>
        <v>Serpine1</v>
      </c>
    </row>
    <row r="27" spans="1:6" x14ac:dyDescent="0.25">
      <c r="A27" t="s">
        <v>1809</v>
      </c>
      <c r="B27" t="s">
        <v>1280</v>
      </c>
      <c r="C27" s="47">
        <v>2.9670000000000001</v>
      </c>
      <c r="D27" s="47">
        <v>3.0139999999999998</v>
      </c>
      <c r="E27" s="27">
        <v>4.9400000000000004</v>
      </c>
      <c r="F27" s="1" t="str">
        <f>HYPERLINK("http://www.ncbi.nlm.nih.gov/pubmed/?term=Eno3","Eno3")</f>
        <v>Eno3</v>
      </c>
    </row>
    <row r="28" spans="1:6" x14ac:dyDescent="0.25">
      <c r="A28" t="s">
        <v>91</v>
      </c>
      <c r="B28" t="s">
        <v>1403</v>
      </c>
      <c r="C28" s="36">
        <v>1.8640000000000001</v>
      </c>
      <c r="D28" s="42">
        <v>3.6930000000000001</v>
      </c>
      <c r="E28" s="27">
        <v>4.968</v>
      </c>
      <c r="F28" s="1" t="str">
        <f>HYPERLINK("http://www.ncbi.nlm.nih.gov/pubmed/?term=Erbb2","Erbb2")</f>
        <v>Erbb2</v>
      </c>
    </row>
    <row r="29" spans="1:6" x14ac:dyDescent="0.25">
      <c r="A29" t="s">
        <v>1747</v>
      </c>
      <c r="B29" t="s">
        <v>1617</v>
      </c>
      <c r="C29" s="42">
        <v>4.47</v>
      </c>
      <c r="D29" s="28">
        <v>5.5170000000000003</v>
      </c>
      <c r="E29" s="42">
        <v>3.8849999999999998</v>
      </c>
      <c r="F29" s="1" t="str">
        <f>HYPERLINK("http://www.ncbi.nlm.nih.gov/pubmed/?term=Ifngr1","Ifngr1")</f>
        <v>Ifngr1</v>
      </c>
    </row>
    <row r="30" spans="1:6" x14ac:dyDescent="0.25">
      <c r="A30" t="s">
        <v>651</v>
      </c>
      <c r="B30" t="s">
        <v>438</v>
      </c>
      <c r="C30" s="47">
        <v>3.008</v>
      </c>
      <c r="D30" s="42">
        <v>4.3090000000000002</v>
      </c>
      <c r="E30" s="36">
        <v>2.335</v>
      </c>
      <c r="F30" s="1" t="str">
        <f>HYPERLINK("http://www.ncbi.nlm.nih.gov/pubmed/?term=Camk2d","Camk2d")</f>
        <v>Camk2d</v>
      </c>
    </row>
    <row r="31" spans="1:6" x14ac:dyDescent="0.25">
      <c r="A31" t="s">
        <v>1840</v>
      </c>
      <c r="B31" t="s">
        <v>1579</v>
      </c>
      <c r="C31" s="27">
        <v>5.0369999999999999</v>
      </c>
      <c r="D31" s="42">
        <v>4.2450000000000001</v>
      </c>
      <c r="E31" s="42">
        <v>3.851</v>
      </c>
      <c r="F31" s="1" t="str">
        <f>HYPERLINK("http://www.ncbi.nlm.nih.gov/pubmed/?term=Cdkn1b","Cdkn1b")</f>
        <v>Cdkn1b</v>
      </c>
    </row>
    <row r="32" spans="1:6" x14ac:dyDescent="0.25">
      <c r="A32" t="s">
        <v>368</v>
      </c>
      <c r="B32" t="s">
        <v>938</v>
      </c>
      <c r="C32" s="27">
        <v>4.8079999999999998</v>
      </c>
      <c r="D32" s="42">
        <v>3.8130000000000002</v>
      </c>
      <c r="E32" s="42">
        <v>3.5379999999999998</v>
      </c>
      <c r="F32" s="1" t="str">
        <f>HYPERLINK("http://www.ncbi.nlm.nih.gov/pubmed/?term=Igf1r","Igf1r")</f>
        <v>Igf1r</v>
      </c>
    </row>
    <row r="33" spans="1:6" x14ac:dyDescent="0.25">
      <c r="A33" t="s">
        <v>78</v>
      </c>
      <c r="B33" t="s">
        <v>1182</v>
      </c>
      <c r="C33" s="27">
        <v>4.6639999999999997</v>
      </c>
      <c r="D33" s="27">
        <v>4.6269999999999998</v>
      </c>
      <c r="E33" s="47">
        <v>2.9020000000000001</v>
      </c>
      <c r="F33" s="1" t="str">
        <f>HYPERLINK("http://www.ncbi.nlm.nih.gov/pubmed/?term=Plcg1","Plcg1")</f>
        <v>Plcg1</v>
      </c>
    </row>
    <row r="34" spans="1:6" x14ac:dyDescent="0.25">
      <c r="A34" t="s">
        <v>1444</v>
      </c>
      <c r="B34" t="s">
        <v>1417</v>
      </c>
      <c r="C34" s="27">
        <v>4.7190000000000003</v>
      </c>
      <c r="D34" s="42">
        <v>4.1989999999999998</v>
      </c>
      <c r="E34" s="47">
        <v>2.794</v>
      </c>
      <c r="F34" s="1" t="str">
        <f>HYPERLINK("http://www.ncbi.nlm.nih.gov/pubmed/?term=Egfr","Egfr")</f>
        <v>Egfr</v>
      </c>
    </row>
    <row r="35" spans="1:6" x14ac:dyDescent="0.25">
      <c r="A35" t="s">
        <v>130</v>
      </c>
      <c r="B35" t="s">
        <v>1179</v>
      </c>
      <c r="C35" s="28">
        <v>6.399</v>
      </c>
      <c r="D35" s="28">
        <v>6.1420000000000003</v>
      </c>
      <c r="E35" s="27">
        <v>4.9630000000000001</v>
      </c>
      <c r="F35" s="1" t="str">
        <f>HYPERLINK("http://www.ncbi.nlm.nih.gov/pubmed/?term=Hif1a","Hif1a")</f>
        <v>Hif1a</v>
      </c>
    </row>
    <row r="36" spans="1:6" x14ac:dyDescent="0.25">
      <c r="A36" t="s">
        <v>2079</v>
      </c>
      <c r="B36" t="s">
        <v>439</v>
      </c>
      <c r="C36" s="42">
        <v>4.1420000000000003</v>
      </c>
      <c r="D36" s="47">
        <v>3.1230000000000002</v>
      </c>
      <c r="E36" s="47">
        <v>2.609</v>
      </c>
      <c r="F36" s="1" t="str">
        <f>HYPERLINK("http://www.ncbi.nlm.nih.gov/pubmed/?term=Camk2g","Camk2g")</f>
        <v>Camk2g</v>
      </c>
    </row>
    <row r="37" spans="1:6" x14ac:dyDescent="0.25">
      <c r="A37" t="s">
        <v>2197</v>
      </c>
      <c r="B37" t="s">
        <v>1027</v>
      </c>
      <c r="C37" s="27">
        <v>5.4749999999999996</v>
      </c>
      <c r="D37" s="27">
        <v>5.3170000000000002</v>
      </c>
      <c r="E37" s="42">
        <v>3.907</v>
      </c>
      <c r="F37" s="1" t="str">
        <f>HYPERLINK("http://www.ncbi.nlm.nih.gov/pubmed/?term=Vegfa","Vegfa")</f>
        <v>Vegfa</v>
      </c>
    </row>
    <row r="38" spans="1:6" x14ac:dyDescent="0.25">
      <c r="A38" t="s">
        <v>614</v>
      </c>
      <c r="B38" t="s">
        <v>1273</v>
      </c>
      <c r="C38" s="28">
        <v>6.1040000000000001</v>
      </c>
      <c r="D38" s="27">
        <v>4.5590000000000002</v>
      </c>
      <c r="E38" s="47">
        <v>3.2919999999999998</v>
      </c>
      <c r="F38" s="1" t="str">
        <f>HYPERLINK("http://www.ncbi.nlm.nih.gov/pubmed/?term=Ltbr","Ltbr")</f>
        <v>Ltbr</v>
      </c>
    </row>
    <row r="39" spans="1:6" x14ac:dyDescent="0.25">
      <c r="A39" t="s">
        <v>1205</v>
      </c>
      <c r="B39" t="s">
        <v>1329</v>
      </c>
      <c r="C39" s="28">
        <v>5.6820000000000004</v>
      </c>
      <c r="D39" s="27">
        <v>5.0220000000000002</v>
      </c>
      <c r="E39" s="27">
        <v>4.7060000000000004</v>
      </c>
      <c r="F39" s="1" t="str">
        <f>HYPERLINK("http://www.ncbi.nlm.nih.gov/pubmed/?term=Pik3r2","Pik3r2")</f>
        <v>Pik3r2</v>
      </c>
    </row>
    <row r="40" spans="1:6" x14ac:dyDescent="0.25">
      <c r="A40" t="s">
        <v>462</v>
      </c>
      <c r="B40" t="s">
        <v>1632</v>
      </c>
      <c r="C40" s="42">
        <v>4.3159999999999998</v>
      </c>
      <c r="D40" s="42">
        <v>4.149</v>
      </c>
      <c r="E40" s="47">
        <v>3.0350000000000001</v>
      </c>
      <c r="F40" s="1" t="str">
        <f>HYPERLINK("http://www.ncbi.nlm.nih.gov/pubmed/?term=Egln3","Egln3")</f>
        <v>Egln3</v>
      </c>
    </row>
    <row r="41" spans="1:6" x14ac:dyDescent="0.25">
      <c r="A41" t="s">
        <v>731</v>
      </c>
      <c r="B41" t="s">
        <v>1330</v>
      </c>
      <c r="C41" s="27">
        <v>4.9180000000000001</v>
      </c>
      <c r="D41" s="27">
        <v>4.8079999999999998</v>
      </c>
      <c r="E41" s="42">
        <v>3.7410000000000001</v>
      </c>
      <c r="F41" s="1" t="str">
        <f>HYPERLINK("http://www.ncbi.nlm.nih.gov/pubmed/?term=Pik3r1","Pik3r1")</f>
        <v>Pik3r1</v>
      </c>
    </row>
    <row r="42" spans="1:6" x14ac:dyDescent="0.25">
      <c r="A42" t="s">
        <v>2024</v>
      </c>
      <c r="B42" t="s">
        <v>15</v>
      </c>
      <c r="C42" s="42">
        <v>3.827</v>
      </c>
      <c r="D42" s="47">
        <v>2.8050000000000002</v>
      </c>
      <c r="E42" s="36">
        <v>2.2109999999999999</v>
      </c>
      <c r="F42" s="1" t="str">
        <f>HYPERLINK("http://www.ncbi.nlm.nih.gov/pubmed/?term=Bcl2","Bcl2")</f>
        <v>Bcl2</v>
      </c>
    </row>
    <row r="43" spans="1:6" x14ac:dyDescent="0.25">
      <c r="A43" t="s">
        <v>969</v>
      </c>
      <c r="B43" t="s">
        <v>1633</v>
      </c>
      <c r="C43" s="27">
        <v>5.3289999999999997</v>
      </c>
      <c r="D43" s="42">
        <v>4.45</v>
      </c>
      <c r="E43" s="42">
        <v>3.8639999999999999</v>
      </c>
      <c r="F43" s="1" t="str">
        <f>HYPERLINK("http://www.ncbi.nlm.nih.gov/pubmed/?term=Egln2","Egln2")</f>
        <v>Egln2</v>
      </c>
    </row>
    <row r="44" spans="1:6" x14ac:dyDescent="0.25">
      <c r="A44" t="s">
        <v>1165</v>
      </c>
      <c r="B44" t="s">
        <v>457</v>
      </c>
      <c r="C44" s="14">
        <v>1.4990000000000001</v>
      </c>
      <c r="D44" s="14">
        <v>0.54100000000000004</v>
      </c>
      <c r="E44" s="42">
        <v>3.887</v>
      </c>
      <c r="F44" s="1" t="str">
        <f>HYPERLINK("http://www.ncbi.nlm.nih.gov/pubmed/?term=Hk2","Hk2")</f>
        <v>Hk2</v>
      </c>
    </row>
    <row r="45" spans="1:6" x14ac:dyDescent="0.25">
      <c r="A45" t="s">
        <v>395</v>
      </c>
      <c r="B45" t="s">
        <v>746</v>
      </c>
      <c r="C45" s="42">
        <v>3.8969999999999998</v>
      </c>
      <c r="D45" s="47">
        <v>3.3140000000000001</v>
      </c>
      <c r="E45" s="27">
        <v>4.67</v>
      </c>
      <c r="F45" s="1" t="str">
        <f>HYPERLINK("http://www.ncbi.nlm.nih.gov/pubmed/?term=Tfrc","Tfrc")</f>
        <v>Tfrc</v>
      </c>
    </row>
    <row r="46" spans="1:6" x14ac:dyDescent="0.25">
      <c r="A46" t="s">
        <v>1880</v>
      </c>
      <c r="B46" t="s">
        <v>1077</v>
      </c>
      <c r="C46" s="42">
        <v>3.6549999999999998</v>
      </c>
      <c r="D46" s="47">
        <v>3.3140000000000001</v>
      </c>
      <c r="E46" s="28">
        <v>6.2270000000000003</v>
      </c>
      <c r="F46" s="1" t="str">
        <f>HYPERLINK("http://www.ncbi.nlm.nih.gov/pubmed/?term=Prkca","Prkca")</f>
        <v>Prkca</v>
      </c>
    </row>
    <row r="47" spans="1:6" x14ac:dyDescent="0.25">
      <c r="A47" t="s">
        <v>96</v>
      </c>
      <c r="B47" t="s">
        <v>1492</v>
      </c>
      <c r="C47" s="28">
        <v>6.4009999999999998</v>
      </c>
      <c r="D47" s="28">
        <v>6.0640000000000001</v>
      </c>
      <c r="E47" s="43">
        <v>7.2469999999999999</v>
      </c>
      <c r="F47" s="1" t="str">
        <f>HYPERLINK("http://www.ncbi.nlm.nih.gov/pubmed/?term=Pgk1","Pgk1")</f>
        <v>Pgk1</v>
      </c>
    </row>
    <row r="48" spans="1:6" x14ac:dyDescent="0.25">
      <c r="A48" t="s">
        <v>159</v>
      </c>
      <c r="B48" t="s">
        <v>1644</v>
      </c>
      <c r="C48" s="43">
        <v>6.5579999999999998</v>
      </c>
      <c r="D48" s="27">
        <v>4.7640000000000002</v>
      </c>
      <c r="E48" s="27">
        <v>5.4039999999999999</v>
      </c>
      <c r="F48" s="1" t="str">
        <f>HYPERLINK("http://www.ncbi.nlm.nih.gov/pubmed/?term=Map2k1","Map2k1")</f>
        <v>Map2k1</v>
      </c>
    </row>
    <row r="49" spans="1:6" x14ac:dyDescent="0.25">
      <c r="A49" t="s">
        <v>2191</v>
      </c>
      <c r="B49" t="s">
        <v>867</v>
      </c>
      <c r="C49" s="42">
        <v>4.2430000000000003</v>
      </c>
      <c r="D49" s="36">
        <v>2.2789999999999999</v>
      </c>
      <c r="E49" s="36">
        <v>2.3780000000000001</v>
      </c>
      <c r="F49" s="1" t="str">
        <f>HYPERLINK("http://www.ncbi.nlm.nih.gov/pubmed/?term=Pdk1","Pdk1")</f>
        <v>Pdk1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1399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1111</v>
      </c>
      <c r="B5" t="s">
        <v>995</v>
      </c>
      <c r="C5" s="26">
        <v>-2.2890000000000001</v>
      </c>
      <c r="D5" s="16">
        <v>4.6890000000000001</v>
      </c>
      <c r="E5" s="41">
        <v>2.0369999999999999</v>
      </c>
      <c r="F5" s="1" t="str">
        <f>HYPERLINK("http://www.ncbi.nlm.nih.gov/pubmed/?term=Adh1","Adh1")</f>
        <v>Adh1</v>
      </c>
    </row>
    <row r="6" spans="1:6" x14ac:dyDescent="0.25">
      <c r="A6" t="s">
        <v>1598</v>
      </c>
      <c r="B6" t="s">
        <v>570</v>
      </c>
      <c r="C6" s="3">
        <v>4.0270000000000001</v>
      </c>
      <c r="D6" s="3">
        <v>4.173</v>
      </c>
      <c r="E6" s="16">
        <v>4.96</v>
      </c>
      <c r="F6" s="1" t="str">
        <f>HYPERLINK("http://www.ncbi.nlm.nih.gov/pubmed/?term=Eci1","Eci1")</f>
        <v>Eci1</v>
      </c>
    </row>
    <row r="7" spans="1:6" x14ac:dyDescent="0.25">
      <c r="A7" t="s">
        <v>192</v>
      </c>
      <c r="B7" t="s">
        <v>954</v>
      </c>
      <c r="C7" s="3">
        <v>4.3650000000000002</v>
      </c>
      <c r="D7" s="16">
        <v>4.8419999999999996</v>
      </c>
      <c r="E7" s="16">
        <v>5.452</v>
      </c>
      <c r="F7" s="1" t="str">
        <f>HYPERLINK("http://www.ncbi.nlm.nih.gov/pubmed/?term=Acsl5","Acsl5")</f>
        <v>Acsl5</v>
      </c>
    </row>
    <row r="8" spans="1:6" x14ac:dyDescent="0.25">
      <c r="A8" t="s">
        <v>1083</v>
      </c>
      <c r="B8" t="s">
        <v>1689</v>
      </c>
      <c r="C8" s="22">
        <v>3.1619999999999999</v>
      </c>
      <c r="D8" s="22">
        <v>3.169</v>
      </c>
      <c r="E8" s="16">
        <v>4.5679999999999996</v>
      </c>
      <c r="F8" s="1" t="str">
        <f>HYPERLINK("http://www.ncbi.nlm.nih.gov/pubmed/?term=Cpt2","Cpt2")</f>
        <v>Cpt2</v>
      </c>
    </row>
    <row r="9" spans="1:6" x14ac:dyDescent="0.25">
      <c r="A9" t="s">
        <v>901</v>
      </c>
      <c r="B9" t="s">
        <v>1313</v>
      </c>
      <c r="C9" s="41">
        <v>2.3029999999999999</v>
      </c>
      <c r="D9" s="22">
        <v>3.2559999999999998</v>
      </c>
      <c r="E9" s="3">
        <v>3.5249999999999999</v>
      </c>
      <c r="F9" s="1" t="str">
        <f>HYPERLINK("http://www.ncbi.nlm.nih.gov/pubmed/?term=Acox3","Acox3")</f>
        <v>Acox3</v>
      </c>
    </row>
    <row r="10" spans="1:6" x14ac:dyDescent="0.25">
      <c r="A10" t="s">
        <v>1248</v>
      </c>
      <c r="B10" t="s">
        <v>2158</v>
      </c>
      <c r="C10" s="16">
        <v>5.4740000000000002</v>
      </c>
      <c r="D10" s="43">
        <v>6.3890000000000002</v>
      </c>
      <c r="E10" s="3">
        <v>3.6019999999999999</v>
      </c>
      <c r="F10" s="1" t="str">
        <f>HYPERLINK("http://www.ncbi.nlm.nih.gov/pubmed/?term=Aldh2","Aldh2")</f>
        <v>Aldh2</v>
      </c>
    </row>
    <row r="11" spans="1:6" x14ac:dyDescent="0.25">
      <c r="A11" t="s">
        <v>683</v>
      </c>
      <c r="B11" t="s">
        <v>1793</v>
      </c>
      <c r="C11" s="43">
        <v>6.4889999999999999</v>
      </c>
      <c r="D11" s="43">
        <v>6.3239999999999998</v>
      </c>
      <c r="E11" s="16">
        <v>5.26</v>
      </c>
      <c r="F11" s="1" t="str">
        <f>HYPERLINK("http://www.ncbi.nlm.nih.gov/pubmed/?term=Aldh3a2","Aldh3a2")</f>
        <v>Aldh3a2</v>
      </c>
    </row>
    <row r="12" spans="1:6" x14ac:dyDescent="0.25">
      <c r="A12" t="s">
        <v>960</v>
      </c>
      <c r="B12" t="s">
        <v>569</v>
      </c>
      <c r="C12" s="16">
        <v>5.3019999999999996</v>
      </c>
      <c r="D12" s="3">
        <v>4.4850000000000003</v>
      </c>
      <c r="E12" s="3">
        <v>3.9809999999999999</v>
      </c>
      <c r="F12" s="1" t="str">
        <f>HYPERLINK("http://www.ncbi.nlm.nih.gov/pubmed/?term=Eci2","Eci2")</f>
        <v>Eci2</v>
      </c>
    </row>
    <row r="13" spans="1:6" x14ac:dyDescent="0.25">
      <c r="A13" t="s">
        <v>1158</v>
      </c>
      <c r="B13" t="s">
        <v>1915</v>
      </c>
      <c r="C13" s="43">
        <v>6.7720000000000002</v>
      </c>
      <c r="D13" s="3">
        <v>4.4340000000000002</v>
      </c>
      <c r="E13" s="3">
        <v>3.823</v>
      </c>
      <c r="F13" s="1" t="str">
        <f>HYPERLINK("http://www.ncbi.nlm.nih.gov/pubmed/?term=Cpt1a","Cpt1a")</f>
        <v>Cpt1a</v>
      </c>
    </row>
    <row r="14" spans="1:6" x14ac:dyDescent="0.25">
      <c r="A14" t="s">
        <v>402</v>
      </c>
      <c r="B14" t="s">
        <v>1994</v>
      </c>
      <c r="C14" s="43">
        <v>5.6879999999999997</v>
      </c>
      <c r="D14" s="16">
        <v>4.6929999999999996</v>
      </c>
      <c r="E14" s="3">
        <v>3.7080000000000002</v>
      </c>
      <c r="F14" s="1" t="str">
        <f>HYPERLINK("http://www.ncbi.nlm.nih.gov/pubmed/?term=Acadl","Acadl")</f>
        <v>Acadl</v>
      </c>
    </row>
    <row r="15" spans="1:6" x14ac:dyDescent="0.25">
      <c r="A15" t="s">
        <v>1963</v>
      </c>
      <c r="B15" t="s">
        <v>315</v>
      </c>
      <c r="C15" s="16">
        <v>4.9779999999999998</v>
      </c>
      <c r="D15" s="3">
        <v>3.8260000000000001</v>
      </c>
      <c r="E15" s="22">
        <v>3.49</v>
      </c>
      <c r="F15" s="1" t="str">
        <f>HYPERLINK("http://www.ncbi.nlm.nih.gov/pubmed/?term=Acadsb","Acadsb")</f>
        <v>Acadsb</v>
      </c>
    </row>
    <row r="16" spans="1:6" x14ac:dyDescent="0.25">
      <c r="A16" t="s">
        <v>1526</v>
      </c>
      <c r="B16" t="s">
        <v>1247</v>
      </c>
      <c r="C16" s="16">
        <v>5.37</v>
      </c>
      <c r="D16" s="3">
        <v>3.9049999999999998</v>
      </c>
      <c r="E16" s="21">
        <v>1.488</v>
      </c>
      <c r="F16" s="1" t="str">
        <f>HYPERLINK("http://www.ncbi.nlm.nih.gov/pubmed/?term=Acaa2","Acaa2")</f>
        <v>Acaa2</v>
      </c>
    </row>
    <row r="17" spans="1:6" x14ac:dyDescent="0.25">
      <c r="A17" t="s">
        <v>476</v>
      </c>
      <c r="B17" t="s">
        <v>2194</v>
      </c>
      <c r="C17" s="43">
        <v>5.8730000000000002</v>
      </c>
      <c r="D17" s="3">
        <v>4.1980000000000004</v>
      </c>
      <c r="E17" s="22">
        <v>3.476</v>
      </c>
      <c r="F17" s="1" t="str">
        <f>HYPERLINK("http://www.ncbi.nlm.nih.gov/pubmed/?term=Aldh7a1","Aldh7a1")</f>
        <v>Aldh7a1</v>
      </c>
    </row>
    <row r="18" spans="1:6" x14ac:dyDescent="0.25">
      <c r="A18" t="s">
        <v>1895</v>
      </c>
      <c r="B18" t="s">
        <v>2039</v>
      </c>
      <c r="C18" s="43">
        <v>5.5720000000000001</v>
      </c>
      <c r="D18" s="3">
        <v>4.4400000000000004</v>
      </c>
      <c r="E18" s="16">
        <v>4.601</v>
      </c>
      <c r="F18" s="1" t="str">
        <f>HYPERLINK("http://www.ncbi.nlm.nih.gov/pubmed/?term=Acadvl","Acadvl")</f>
        <v>Acadvl</v>
      </c>
    </row>
    <row r="19" spans="1:6" x14ac:dyDescent="0.25">
      <c r="A19" t="s">
        <v>1091</v>
      </c>
      <c r="B19" t="s">
        <v>226</v>
      </c>
      <c r="C19" s="43">
        <v>6.09</v>
      </c>
      <c r="D19" s="16">
        <v>4.8970000000000002</v>
      </c>
      <c r="E19" s="43">
        <v>5.56</v>
      </c>
      <c r="F19" s="1" t="str">
        <f>HYPERLINK("http://www.ncbi.nlm.nih.gov/pubmed/?term=Hadha","Hadha")</f>
        <v>Hadha</v>
      </c>
    </row>
    <row r="20" spans="1:6" x14ac:dyDescent="0.25">
      <c r="A20" t="s">
        <v>1979</v>
      </c>
      <c r="B20" t="s">
        <v>1316</v>
      </c>
      <c r="C20" s="16">
        <v>5.0529999999999999</v>
      </c>
      <c r="D20" s="3">
        <v>3.5739999999999998</v>
      </c>
      <c r="E20" s="3">
        <v>3.59</v>
      </c>
      <c r="F20" s="1" t="str">
        <f>HYPERLINK("http://www.ncbi.nlm.nih.gov/pubmed/?term=Aldh9a1","Aldh9a1")</f>
        <v>Aldh9a1</v>
      </c>
    </row>
    <row r="21" spans="1:6" x14ac:dyDescent="0.25">
      <c r="A21" t="s">
        <v>227</v>
      </c>
      <c r="B21" t="s">
        <v>2031</v>
      </c>
      <c r="C21" s="43">
        <v>6.6139999999999999</v>
      </c>
      <c r="D21" s="16">
        <v>5.085</v>
      </c>
      <c r="E21" s="16">
        <v>5.38</v>
      </c>
      <c r="F21" s="1" t="str">
        <f>HYPERLINK("http://www.ncbi.nlm.nih.gov/pubmed/?term=Hadh","Hadh")</f>
        <v>Hadh</v>
      </c>
    </row>
    <row r="22" spans="1:6" x14ac:dyDescent="0.25">
      <c r="A22" t="s">
        <v>1366</v>
      </c>
      <c r="B22" t="s">
        <v>97</v>
      </c>
      <c r="C22" s="16">
        <v>5.3230000000000004</v>
      </c>
      <c r="D22" s="3">
        <v>3.5150000000000001</v>
      </c>
      <c r="E22" s="16">
        <v>4.758</v>
      </c>
      <c r="F22" s="1" t="str">
        <f>HYPERLINK("http://www.ncbi.nlm.nih.gov/pubmed/?term=Acat1","Acat1")</f>
        <v>Acat1</v>
      </c>
    </row>
    <row r="23" spans="1:6" x14ac:dyDescent="0.25">
      <c r="A23" t="s">
        <v>1180</v>
      </c>
      <c r="B23" t="s">
        <v>1517</v>
      </c>
      <c r="C23" s="43">
        <v>6.3710000000000004</v>
      </c>
      <c r="D23" s="16">
        <v>4.9260000000000002</v>
      </c>
      <c r="E23" s="16">
        <v>5.069</v>
      </c>
      <c r="F23" s="1" t="str">
        <f>HYPERLINK("http://www.ncbi.nlm.nih.gov/pubmed/?term=Hadhb","Hadhb")</f>
        <v>Hadhb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308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294</v>
      </c>
      <c r="B5" t="s">
        <v>966</v>
      </c>
      <c r="C5" s="26">
        <v>-2.4009999999999998</v>
      </c>
      <c r="D5" s="15">
        <v>4.0940000000000003</v>
      </c>
      <c r="E5" s="8">
        <v>0.90300000000000002</v>
      </c>
      <c r="F5" s="1" t="str">
        <f>HYPERLINK("http://www.ncbi.nlm.nih.gov/pubmed/?term=Lbp","Lbp")</f>
        <v>Lbp</v>
      </c>
    </row>
    <row r="6" spans="1:6" x14ac:dyDescent="0.25">
      <c r="A6" t="s">
        <v>1878</v>
      </c>
      <c r="B6" t="s">
        <v>523</v>
      </c>
      <c r="C6" s="37">
        <v>2.383</v>
      </c>
      <c r="D6" s="15">
        <v>3.786</v>
      </c>
      <c r="E6" s="15">
        <v>3.532</v>
      </c>
      <c r="F6" s="1" t="str">
        <f>HYPERLINK("http://www.ncbi.nlm.nih.gov/pubmed/?term=Malt1","Malt1")</f>
        <v>Malt1</v>
      </c>
    </row>
    <row r="7" spans="1:6" x14ac:dyDescent="0.25">
      <c r="A7" t="s">
        <v>276</v>
      </c>
      <c r="B7" t="s">
        <v>1181</v>
      </c>
      <c r="C7" s="41">
        <v>2.7959999999999998</v>
      </c>
      <c r="D7" s="19">
        <v>4.8380000000000001</v>
      </c>
      <c r="E7" s="41">
        <v>3.4089999999999998</v>
      </c>
      <c r="F7" s="1" t="str">
        <f>HYPERLINK("http://www.ncbi.nlm.nih.gov/pubmed/?term=Plcg2","Plcg2")</f>
        <v>Plcg2</v>
      </c>
    </row>
    <row r="8" spans="1:6" x14ac:dyDescent="0.25">
      <c r="A8" t="s">
        <v>1790</v>
      </c>
      <c r="B8" t="s">
        <v>580</v>
      </c>
      <c r="C8" s="3">
        <v>5.5129999999999999</v>
      </c>
      <c r="D8" s="3">
        <v>5.7859999999999996</v>
      </c>
      <c r="E8" s="9">
        <v>7.468</v>
      </c>
      <c r="F8" s="1" t="str">
        <f>HYPERLINK("http://www.ncbi.nlm.nih.gov/pubmed/?term=Relb","Relb")</f>
        <v>Relb</v>
      </c>
    </row>
    <row r="9" spans="1:6" x14ac:dyDescent="0.25">
      <c r="A9" t="s">
        <v>1237</v>
      </c>
      <c r="B9" t="s">
        <v>1139</v>
      </c>
      <c r="C9" s="15">
        <v>4.141</v>
      </c>
      <c r="D9" s="15">
        <v>4.1669999999999998</v>
      </c>
      <c r="E9" s="9">
        <v>6.782</v>
      </c>
      <c r="F9" s="1" t="str">
        <f>HYPERLINK("http://www.ncbi.nlm.nih.gov/pubmed/?term=Bcl2l1","Bcl2l1")</f>
        <v>Bcl2l1</v>
      </c>
    </row>
    <row r="10" spans="1:6" x14ac:dyDescent="0.25">
      <c r="A10" t="s">
        <v>908</v>
      </c>
      <c r="B10" t="s">
        <v>2136</v>
      </c>
      <c r="C10" s="15">
        <v>3.778</v>
      </c>
      <c r="D10" s="19">
        <v>5.0129999999999999</v>
      </c>
      <c r="E10" s="9">
        <v>7.056</v>
      </c>
      <c r="F10" s="1" t="str">
        <f>HYPERLINK("http://www.ncbi.nlm.nih.gov/pubmed/?term=Gadd45b","Gadd45b")</f>
        <v>Gadd45b</v>
      </c>
    </row>
    <row r="11" spans="1:6" x14ac:dyDescent="0.25">
      <c r="A11" t="s">
        <v>1599</v>
      </c>
      <c r="B11" t="s">
        <v>225</v>
      </c>
      <c r="C11" s="8">
        <v>0.73909999999999998</v>
      </c>
      <c r="D11" s="41">
        <v>3.1890000000000001</v>
      </c>
      <c r="E11" s="19">
        <v>4.5190000000000001</v>
      </c>
      <c r="F11" s="1" t="str">
        <f>HYPERLINK("http://www.ncbi.nlm.nih.gov/pubmed/?term=Syk","Syk")</f>
        <v>Syk</v>
      </c>
    </row>
    <row r="12" spans="1:6" x14ac:dyDescent="0.25">
      <c r="A12" t="s">
        <v>643</v>
      </c>
      <c r="B12" t="s">
        <v>598</v>
      </c>
      <c r="C12" s="8">
        <v>0.71689999999999998</v>
      </c>
      <c r="D12" s="41">
        <v>2.988</v>
      </c>
      <c r="E12" s="15">
        <v>4.0490000000000004</v>
      </c>
      <c r="F12" s="1" t="str">
        <f>HYPERLINK("http://www.ncbi.nlm.nih.gov/pubmed/?term=Ltb","Ltb")</f>
        <v>Ltb</v>
      </c>
    </row>
    <row r="13" spans="1:6" x14ac:dyDescent="0.25">
      <c r="A13" t="s">
        <v>656</v>
      </c>
      <c r="B13" t="s">
        <v>1049</v>
      </c>
      <c r="C13" s="26">
        <v>-1.929</v>
      </c>
      <c r="D13" s="8">
        <v>0.65049999999999997</v>
      </c>
      <c r="E13" s="15">
        <v>4.242</v>
      </c>
      <c r="F13" s="1" t="str">
        <f>HYPERLINK("http://www.ncbi.nlm.nih.gov/pubmed/?term=Tnf","Tnf")</f>
        <v>Tnf</v>
      </c>
    </row>
    <row r="14" spans="1:6" x14ac:dyDescent="0.25">
      <c r="A14" t="s">
        <v>1851</v>
      </c>
      <c r="B14" t="s">
        <v>1249</v>
      </c>
      <c r="C14" s="3">
        <v>6.2190000000000003</v>
      </c>
      <c r="D14" s="3">
        <v>6.3710000000000004</v>
      </c>
      <c r="E14" s="39">
        <v>7.9530000000000003</v>
      </c>
      <c r="F14" s="1" t="str">
        <f>HYPERLINK("http://www.ncbi.nlm.nih.gov/pubmed/?term=Nfkb2","Nfkb2")</f>
        <v>Nfkb2</v>
      </c>
    </row>
    <row r="15" spans="1:6" x14ac:dyDescent="0.25">
      <c r="A15" t="s">
        <v>1830</v>
      </c>
      <c r="B15" t="s">
        <v>747</v>
      </c>
      <c r="C15" s="26">
        <v>-3.5540000000000002E-2</v>
      </c>
      <c r="D15" s="19">
        <v>4.915</v>
      </c>
      <c r="E15" s="3">
        <v>6.1319999999999997</v>
      </c>
      <c r="F15" s="1" t="str">
        <f>HYPERLINK("http://www.ncbi.nlm.nih.gov/pubmed/?term=Tnfrsf11a","Tnfrsf11a")</f>
        <v>Tnfrsf11a</v>
      </c>
    </row>
    <row r="16" spans="1:6" x14ac:dyDescent="0.25">
      <c r="A16" t="s">
        <v>536</v>
      </c>
      <c r="B16" t="s">
        <v>1163</v>
      </c>
      <c r="C16" s="41">
        <v>3.407</v>
      </c>
      <c r="D16" s="15">
        <v>3.8940000000000001</v>
      </c>
      <c r="E16" s="15">
        <v>4.351</v>
      </c>
      <c r="F16" s="1" t="str">
        <f>HYPERLINK("http://www.ncbi.nlm.nih.gov/pubmed/?term=Parp1","Parp1")</f>
        <v>Parp1</v>
      </c>
    </row>
    <row r="17" spans="1:6" x14ac:dyDescent="0.25">
      <c r="A17" t="s">
        <v>1226</v>
      </c>
      <c r="B17" t="s">
        <v>1317</v>
      </c>
      <c r="C17" s="26">
        <v>-0.19309999999999999</v>
      </c>
      <c r="D17" s="15">
        <v>3.6419999999999999</v>
      </c>
      <c r="E17" s="3">
        <v>5.7389999999999999</v>
      </c>
      <c r="F17" s="1" t="str">
        <f>HYPERLINK("http://www.ncbi.nlm.nih.gov/pubmed/?term=Traf1","Traf1")</f>
        <v>Traf1</v>
      </c>
    </row>
    <row r="18" spans="1:6" x14ac:dyDescent="0.25">
      <c r="A18" t="s">
        <v>577</v>
      </c>
      <c r="B18" t="s">
        <v>1318</v>
      </c>
      <c r="C18" s="15">
        <v>4.1280000000000001</v>
      </c>
      <c r="D18" s="15">
        <v>4.3479999999999999</v>
      </c>
      <c r="E18" s="19">
        <v>5.4850000000000003</v>
      </c>
      <c r="F18" s="1" t="str">
        <f>HYPERLINK("http://www.ncbi.nlm.nih.gov/pubmed/?term=Traf2","Traf2")</f>
        <v>Traf2</v>
      </c>
    </row>
    <row r="19" spans="1:6" x14ac:dyDescent="0.25">
      <c r="A19" t="s">
        <v>1352</v>
      </c>
      <c r="B19" t="s">
        <v>2160</v>
      </c>
      <c r="C19" s="19">
        <v>4.5460000000000003</v>
      </c>
      <c r="D19" s="19">
        <v>4.9820000000000002</v>
      </c>
      <c r="E19" s="3">
        <v>6.2560000000000002</v>
      </c>
      <c r="F19" s="1" t="str">
        <f>HYPERLINK("http://www.ncbi.nlm.nih.gov/pubmed/?term=Ikbkb","Ikbkb")</f>
        <v>Ikbkb</v>
      </c>
    </row>
    <row r="20" spans="1:6" x14ac:dyDescent="0.25">
      <c r="A20" t="s">
        <v>2042</v>
      </c>
      <c r="B20" t="s">
        <v>1233</v>
      </c>
      <c r="C20" s="3">
        <v>5.5170000000000003</v>
      </c>
      <c r="D20" s="3">
        <v>5.56</v>
      </c>
      <c r="E20" s="9">
        <v>7.3120000000000003</v>
      </c>
      <c r="F20" s="1" t="str">
        <f>HYPERLINK("http://www.ncbi.nlm.nih.gov/pubmed/?term=Birc3","Birc3")</f>
        <v>Birc3</v>
      </c>
    </row>
    <row r="21" spans="1:6" x14ac:dyDescent="0.25">
      <c r="A21" t="s">
        <v>1849</v>
      </c>
      <c r="B21" t="s">
        <v>703</v>
      </c>
      <c r="C21" s="26">
        <v>-7.85E-2</v>
      </c>
      <c r="D21" s="15">
        <v>3.8530000000000002</v>
      </c>
      <c r="E21" s="39">
        <v>8.1</v>
      </c>
      <c r="F21" s="1" t="str">
        <f>HYPERLINK("http://www.ncbi.nlm.nih.gov/pubmed/?term=Ptgs2","Ptgs2")</f>
        <v>Ptgs2</v>
      </c>
    </row>
    <row r="22" spans="1:6" x14ac:dyDescent="0.25">
      <c r="A22" t="s">
        <v>1116</v>
      </c>
      <c r="B22" t="s">
        <v>432</v>
      </c>
      <c r="C22" s="8">
        <v>1.321</v>
      </c>
      <c r="D22" s="41">
        <v>3.4740000000000002</v>
      </c>
      <c r="E22" s="15">
        <v>3.508</v>
      </c>
      <c r="F22" s="1" t="str">
        <f>HYPERLINK("http://www.ncbi.nlm.nih.gov/pubmed/?term=Lyn","Lyn")</f>
        <v>Lyn</v>
      </c>
    </row>
    <row r="23" spans="1:6" x14ac:dyDescent="0.25">
      <c r="A23" t="s">
        <v>859</v>
      </c>
      <c r="B23" t="s">
        <v>397</v>
      </c>
      <c r="C23" s="26">
        <v>-1.2170000000000001</v>
      </c>
      <c r="D23" s="37">
        <v>2.4129999999999998</v>
      </c>
      <c r="E23" s="19">
        <v>4.5259999999999998</v>
      </c>
      <c r="F23" s="1" t="str">
        <f>HYPERLINK("http://www.ncbi.nlm.nih.gov/pubmed/?term=Cxcl2","Cxcl2")</f>
        <v>Cxcl2</v>
      </c>
    </row>
    <row r="24" spans="1:6" x14ac:dyDescent="0.25">
      <c r="A24" t="s">
        <v>1141</v>
      </c>
      <c r="B24" t="s">
        <v>946</v>
      </c>
      <c r="C24" s="26">
        <v>0.36049999999999999</v>
      </c>
      <c r="D24" s="19">
        <v>4.7919999999999998</v>
      </c>
      <c r="E24" s="9">
        <v>6.7489999999999997</v>
      </c>
      <c r="F24" s="1" t="str">
        <f>HYPERLINK("http://www.ncbi.nlm.nih.gov/pubmed/?term=Blnk","Blnk")</f>
        <v>Blnk</v>
      </c>
    </row>
    <row r="25" spans="1:6" x14ac:dyDescent="0.25">
      <c r="A25" t="s">
        <v>1937</v>
      </c>
      <c r="B25" t="s">
        <v>2171</v>
      </c>
      <c r="C25" s="19">
        <v>4.7430000000000003</v>
      </c>
      <c r="D25" s="19">
        <v>4.8559999999999999</v>
      </c>
      <c r="E25" s="15">
        <v>3.5190000000000001</v>
      </c>
      <c r="F25" s="1" t="str">
        <f>HYPERLINK("http://www.ncbi.nlm.nih.gov/pubmed/?term=Trim25","Trim25")</f>
        <v>Trim25</v>
      </c>
    </row>
    <row r="26" spans="1:6" x14ac:dyDescent="0.25">
      <c r="A26" t="s">
        <v>174</v>
      </c>
      <c r="B26" t="s">
        <v>1781</v>
      </c>
      <c r="C26" s="19">
        <v>5.423</v>
      </c>
      <c r="D26" s="3">
        <v>5.7480000000000002</v>
      </c>
      <c r="E26" s="15">
        <v>3.5529999999999999</v>
      </c>
      <c r="F26" s="1" t="str">
        <f>HYPERLINK("http://www.ncbi.nlm.nih.gov/pubmed/?term=Tnfaip3","Tnfaip3")</f>
        <v>Tnfaip3</v>
      </c>
    </row>
    <row r="27" spans="1:6" x14ac:dyDescent="0.25">
      <c r="A27" t="s">
        <v>575</v>
      </c>
      <c r="B27" t="s">
        <v>1686</v>
      </c>
      <c r="C27" s="19">
        <v>5.3390000000000004</v>
      </c>
      <c r="D27" s="19">
        <v>5.4109999999999996</v>
      </c>
      <c r="E27" s="37">
        <v>1.9830000000000001</v>
      </c>
      <c r="F27" s="1" t="str">
        <f>HYPERLINK("http://www.ncbi.nlm.nih.gov/pubmed/?term=Ddx58","Ddx58")</f>
        <v>Ddx58</v>
      </c>
    </row>
    <row r="28" spans="1:6" x14ac:dyDescent="0.25">
      <c r="A28" t="s">
        <v>1803</v>
      </c>
      <c r="B28" t="s">
        <v>1393</v>
      </c>
      <c r="C28" s="19">
        <v>4.6040000000000001</v>
      </c>
      <c r="D28" s="37">
        <v>1.738</v>
      </c>
      <c r="E28" s="8">
        <v>1.3029999999999999</v>
      </c>
      <c r="F28" s="1" t="str">
        <f>HYPERLINK("http://www.ncbi.nlm.nih.gov/pubmed/?term=Lck","Lck")</f>
        <v>Lck</v>
      </c>
    </row>
    <row r="29" spans="1:6" x14ac:dyDescent="0.25">
      <c r="A29" t="s">
        <v>78</v>
      </c>
      <c r="B29" t="s">
        <v>1182</v>
      </c>
      <c r="C29" s="19">
        <v>4.6639999999999997</v>
      </c>
      <c r="D29" s="19">
        <v>4.6269999999999998</v>
      </c>
      <c r="E29" s="41">
        <v>2.9020000000000001</v>
      </c>
      <c r="F29" s="1" t="str">
        <f>HYPERLINK("http://www.ncbi.nlm.nih.gov/pubmed/?term=Plcg1","Plcg1")</f>
        <v>Plcg1</v>
      </c>
    </row>
    <row r="30" spans="1:6" x14ac:dyDescent="0.25">
      <c r="A30" t="s">
        <v>2081</v>
      </c>
      <c r="B30" t="s">
        <v>1463</v>
      </c>
      <c r="C30" s="19">
        <v>5.2380000000000004</v>
      </c>
      <c r="D30" s="15">
        <v>3.524</v>
      </c>
      <c r="E30" s="41">
        <v>3.2509999999999999</v>
      </c>
      <c r="F30" s="1" t="str">
        <f>HYPERLINK("http://www.ncbi.nlm.nih.gov/pubmed/?term=Plau","Plau")</f>
        <v>Plau</v>
      </c>
    </row>
    <row r="31" spans="1:6" x14ac:dyDescent="0.25">
      <c r="A31" t="s">
        <v>1398</v>
      </c>
      <c r="B31" t="s">
        <v>36</v>
      </c>
      <c r="C31" s="15">
        <v>4.2149999999999999</v>
      </c>
      <c r="D31" s="41">
        <v>3.403</v>
      </c>
      <c r="E31" s="37">
        <v>2.5</v>
      </c>
      <c r="F31" s="1" t="str">
        <f>HYPERLINK("http://www.ncbi.nlm.nih.gov/pubmed/?term=Tab1","Tab1")</f>
        <v>Tab1</v>
      </c>
    </row>
    <row r="32" spans="1:6" x14ac:dyDescent="0.25">
      <c r="A32" t="s">
        <v>614</v>
      </c>
      <c r="B32" t="s">
        <v>1273</v>
      </c>
      <c r="C32" s="3">
        <v>6.1040000000000001</v>
      </c>
      <c r="D32" s="19">
        <v>4.5590000000000002</v>
      </c>
      <c r="E32" s="41">
        <v>3.2919999999999998</v>
      </c>
      <c r="F32" s="1" t="str">
        <f>HYPERLINK("http://www.ncbi.nlm.nih.gov/pubmed/?term=Ltbr","Ltbr")</f>
        <v>Ltbr</v>
      </c>
    </row>
    <row r="33" spans="1:6" x14ac:dyDescent="0.25">
      <c r="A33" t="s">
        <v>242</v>
      </c>
      <c r="B33" t="s">
        <v>997</v>
      </c>
      <c r="C33" s="3">
        <v>6.056</v>
      </c>
      <c r="D33" s="19">
        <v>5.3730000000000002</v>
      </c>
      <c r="E33" s="15">
        <v>4.3070000000000004</v>
      </c>
      <c r="F33" s="1" t="str">
        <f>HYPERLINK("http://www.ncbi.nlm.nih.gov/pubmed/?term=Tnfrsf1a","Tnfrsf1a")</f>
        <v>Tnfrsf1a</v>
      </c>
    </row>
    <row r="34" spans="1:6" x14ac:dyDescent="0.25">
      <c r="A34" t="s">
        <v>2024</v>
      </c>
      <c r="B34" t="s">
        <v>15</v>
      </c>
      <c r="C34" s="15">
        <v>3.827</v>
      </c>
      <c r="D34" s="41">
        <v>2.8050000000000002</v>
      </c>
      <c r="E34" s="37">
        <v>2.2109999999999999</v>
      </c>
      <c r="F34" s="1" t="str">
        <f>HYPERLINK("http://www.ncbi.nlm.nih.gov/pubmed/?term=Bcl2","Bcl2")</f>
        <v>Bcl2</v>
      </c>
    </row>
    <row r="35" spans="1:6" x14ac:dyDescent="0.25">
      <c r="A35" t="s">
        <v>2072</v>
      </c>
      <c r="B35" t="s">
        <v>1589</v>
      </c>
      <c r="C35" s="39">
        <v>8.0980000000000008</v>
      </c>
      <c r="D35" s="37">
        <v>1.8280000000000001</v>
      </c>
      <c r="E35" s="26">
        <v>-1.3660000000000001</v>
      </c>
      <c r="F35" s="1" t="str">
        <f>HYPERLINK("http://www.ncbi.nlm.nih.gov/pubmed/?term=Cxcl12","Cxcl12")</f>
        <v>Cxcl12</v>
      </c>
    </row>
    <row r="36" spans="1:6" x14ac:dyDescent="0.25">
      <c r="A36" t="s">
        <v>1753</v>
      </c>
      <c r="B36" t="s">
        <v>252</v>
      </c>
      <c r="C36" s="19">
        <v>4.8380000000000001</v>
      </c>
      <c r="D36" s="19">
        <v>4.8330000000000002</v>
      </c>
      <c r="E36" s="9">
        <v>7.3019999999999996</v>
      </c>
      <c r="F36" s="1" t="str">
        <f>HYPERLINK("http://www.ncbi.nlm.nih.gov/pubmed/?term=Cd40","Cd40")</f>
        <v>Cd40</v>
      </c>
    </row>
    <row r="37" spans="1:6" x14ac:dyDescent="0.25">
      <c r="A37" t="s">
        <v>1942</v>
      </c>
      <c r="B37" t="s">
        <v>506</v>
      </c>
      <c r="C37" s="19">
        <v>4.665</v>
      </c>
      <c r="D37" s="15">
        <v>4.1630000000000003</v>
      </c>
      <c r="E37" s="19">
        <v>5.266</v>
      </c>
      <c r="F37" s="1" t="str">
        <f>HYPERLINK("http://www.ncbi.nlm.nih.gov/pubmed/?term=Map3k14","Map3k14")</f>
        <v>Map3k14</v>
      </c>
    </row>
    <row r="38" spans="1:6" x14ac:dyDescent="0.25">
      <c r="A38" t="s">
        <v>1852</v>
      </c>
      <c r="B38" t="s">
        <v>1070</v>
      </c>
      <c r="C38" s="39">
        <v>7.577</v>
      </c>
      <c r="D38" s="39">
        <v>7.5250000000000004</v>
      </c>
      <c r="E38" s="43">
        <v>9.6739999999999995</v>
      </c>
      <c r="F38" s="1" t="str">
        <f>HYPERLINK("http://www.ncbi.nlm.nih.gov/pubmed/?term=Nfkbia","Nfkbia")</f>
        <v>Nfkbia</v>
      </c>
    </row>
    <row r="39" spans="1:6" x14ac:dyDescent="0.25">
      <c r="A39" t="s">
        <v>304</v>
      </c>
      <c r="B39" t="s">
        <v>1088</v>
      </c>
      <c r="C39" s="19">
        <v>4.7640000000000002</v>
      </c>
      <c r="D39" s="19">
        <v>4.665</v>
      </c>
      <c r="E39" s="3">
        <v>6.202</v>
      </c>
      <c r="F39" s="1" t="str">
        <f>HYPERLINK("http://www.ncbi.nlm.nih.gov/pubmed/?term=Cflar","Cflar")</f>
        <v>Cflar</v>
      </c>
    </row>
    <row r="40" spans="1:6" x14ac:dyDescent="0.25">
      <c r="A40" t="s">
        <v>529</v>
      </c>
      <c r="B40" t="s">
        <v>1321</v>
      </c>
      <c r="C40" s="41">
        <v>3.3559999999999999</v>
      </c>
      <c r="D40" s="41">
        <v>3.198</v>
      </c>
      <c r="E40" s="19">
        <v>5.0339999999999998</v>
      </c>
      <c r="F40" s="1" t="str">
        <f>HYPERLINK("http://www.ncbi.nlm.nih.gov/pubmed/?term=Traf6","Traf6")</f>
        <v>Traf6</v>
      </c>
    </row>
    <row r="41" spans="1:6" x14ac:dyDescent="0.25">
      <c r="A41" t="s">
        <v>546</v>
      </c>
      <c r="B41" t="s">
        <v>647</v>
      </c>
      <c r="C41" s="9">
        <v>7.0970000000000004</v>
      </c>
      <c r="D41" s="9">
        <v>6.6790000000000003</v>
      </c>
      <c r="E41" s="43">
        <v>8.57</v>
      </c>
      <c r="F41" s="1" t="str">
        <f>HYPERLINK("http://www.ncbi.nlm.nih.gov/pubmed/?term=Icam1","Icam1")</f>
        <v>Icam1</v>
      </c>
    </row>
    <row r="42" spans="1:6" x14ac:dyDescent="0.25">
      <c r="A42" t="s">
        <v>427</v>
      </c>
      <c r="B42" t="s">
        <v>1234</v>
      </c>
      <c r="C42" s="19">
        <v>5.4820000000000002</v>
      </c>
      <c r="D42" s="19">
        <v>5.2619999999999996</v>
      </c>
      <c r="E42" s="3">
        <v>6.2539999999999996</v>
      </c>
      <c r="F42" s="1" t="str">
        <f>HYPERLINK("http://www.ncbi.nlm.nih.gov/pubmed/?term=Birc2","Birc2")</f>
        <v>Birc2</v>
      </c>
    </row>
    <row r="43" spans="1:6" x14ac:dyDescent="0.25">
      <c r="A43" t="s">
        <v>374</v>
      </c>
      <c r="B43" t="s">
        <v>1081</v>
      </c>
      <c r="C43" s="15">
        <v>4.33</v>
      </c>
      <c r="D43" s="37">
        <v>1.802</v>
      </c>
      <c r="E43" s="37">
        <v>2.2570000000000001</v>
      </c>
      <c r="F43" s="1" t="str">
        <f>HYPERLINK("http://www.ncbi.nlm.nih.gov/pubmed/?term=Prkcq","Prkcq")</f>
        <v>Prkcq</v>
      </c>
    </row>
    <row r="44" spans="1:6" x14ac:dyDescent="0.25">
      <c r="A44" t="s">
        <v>522</v>
      </c>
      <c r="B44" t="s">
        <v>1073</v>
      </c>
      <c r="C44" s="15">
        <v>4.03</v>
      </c>
      <c r="D44" s="26">
        <v>-0.30590000000000001</v>
      </c>
      <c r="E44" s="26">
        <v>0.31240000000000001</v>
      </c>
      <c r="F44" s="1" t="str">
        <f>HYPERLINK("http://www.ncbi.nlm.nih.gov/pubmed/?term=Lat","Lat")</f>
        <v>Lat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257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1171</v>
      </c>
      <c r="B5" t="s">
        <v>689</v>
      </c>
      <c r="C5" s="41">
        <v>1.607</v>
      </c>
      <c r="D5" s="3">
        <v>3.5720000000000001</v>
      </c>
      <c r="E5" s="41">
        <v>2.0129999999999999</v>
      </c>
      <c r="F5" s="1" t="str">
        <f>HYPERLINK("http://www.ncbi.nlm.nih.gov/pubmed/?term=Pld2","Pld2")</f>
        <v>Pld2</v>
      </c>
    </row>
    <row r="6" spans="1:6" x14ac:dyDescent="0.25">
      <c r="A6" t="s">
        <v>1748</v>
      </c>
      <c r="B6" t="s">
        <v>45</v>
      </c>
      <c r="C6" s="26">
        <v>-4.4480000000000004</v>
      </c>
      <c r="D6" s="3">
        <v>3.7269999999999999</v>
      </c>
      <c r="E6" s="26">
        <v>-0.52180000000000004</v>
      </c>
      <c r="F6" s="1" t="str">
        <f>HYPERLINK("http://www.ncbi.nlm.nih.gov/pubmed/?term=Adcy2","Adcy2")</f>
        <v>Adcy2</v>
      </c>
    </row>
    <row r="7" spans="1:6" x14ac:dyDescent="0.25">
      <c r="A7" t="s">
        <v>87</v>
      </c>
      <c r="B7" t="s">
        <v>2034</v>
      </c>
      <c r="C7" s="26">
        <v>-0.22109999999999999</v>
      </c>
      <c r="D7" s="43">
        <v>6.5270000000000001</v>
      </c>
      <c r="E7" s="3">
        <v>3.6469999999999998</v>
      </c>
      <c r="F7" s="1" t="str">
        <f>HYPERLINK("http://www.ncbi.nlm.nih.gov/pubmed/?term=Gnb3","Gnb3")</f>
        <v>Gnb3</v>
      </c>
    </row>
    <row r="8" spans="1:6" x14ac:dyDescent="0.25">
      <c r="A8" t="s">
        <v>287</v>
      </c>
      <c r="B8" t="s">
        <v>367</v>
      </c>
      <c r="C8" s="26">
        <v>-3.1030000000000002</v>
      </c>
      <c r="D8" s="43">
        <v>6.657</v>
      </c>
      <c r="E8" s="3">
        <v>4.4180000000000001</v>
      </c>
      <c r="F8" s="1" t="str">
        <f>HYPERLINK("http://www.ncbi.nlm.nih.gov/pubmed/?term=Gng13","Gng13")</f>
        <v>Gng13</v>
      </c>
    </row>
    <row r="9" spans="1:6" x14ac:dyDescent="0.25">
      <c r="A9" t="s">
        <v>730</v>
      </c>
      <c r="B9" t="s">
        <v>777</v>
      </c>
      <c r="C9" s="41">
        <v>2.1339999999999999</v>
      </c>
      <c r="D9" s="16">
        <v>4.7649999999999997</v>
      </c>
      <c r="E9" s="22">
        <v>2.6150000000000002</v>
      </c>
      <c r="F9" s="1" t="str">
        <f>HYPERLINK("http://www.ncbi.nlm.nih.gov/pubmed/?term=Itpr2","Itpr2")</f>
        <v>Itpr2</v>
      </c>
    </row>
    <row r="10" spans="1:6" x14ac:dyDescent="0.25">
      <c r="A10" t="s">
        <v>1212</v>
      </c>
      <c r="B10" t="s">
        <v>1935</v>
      </c>
      <c r="C10" s="26">
        <v>-0.58730000000000004</v>
      </c>
      <c r="D10" s="43">
        <v>6.1760000000000002</v>
      </c>
      <c r="E10" s="22">
        <v>2.665</v>
      </c>
      <c r="F10" s="1" t="str">
        <f>HYPERLINK("http://www.ncbi.nlm.nih.gov/pubmed/?term=Plcb2","Plcb2")</f>
        <v>Plcb2</v>
      </c>
    </row>
    <row r="11" spans="1:6" x14ac:dyDescent="0.25">
      <c r="A11" t="s">
        <v>2047</v>
      </c>
      <c r="B11" t="s">
        <v>296</v>
      </c>
      <c r="C11" s="26">
        <v>-2.004</v>
      </c>
      <c r="D11" s="26">
        <v>0.45179999999999998</v>
      </c>
      <c r="E11" s="22">
        <v>3.4060000000000001</v>
      </c>
      <c r="F11" s="1" t="str">
        <f>HYPERLINK("http://www.ncbi.nlm.nih.gov/pubmed/?term=Grin2d","Grin2d")</f>
        <v>Grin2d</v>
      </c>
    </row>
    <row r="12" spans="1:6" x14ac:dyDescent="0.25">
      <c r="A12" t="s">
        <v>2113</v>
      </c>
      <c r="B12" t="s">
        <v>487</v>
      </c>
      <c r="C12" s="3">
        <v>4.4240000000000004</v>
      </c>
      <c r="D12" s="16">
        <v>4.6219999999999999</v>
      </c>
      <c r="E12" s="43">
        <v>5.9349999999999996</v>
      </c>
      <c r="F12" s="1" t="str">
        <f>HYPERLINK("http://www.ncbi.nlm.nih.gov/pubmed/?term=Slc1a3","Slc1a3")</f>
        <v>Slc1a3</v>
      </c>
    </row>
    <row r="13" spans="1:6" x14ac:dyDescent="0.25">
      <c r="A13" t="s">
        <v>299</v>
      </c>
      <c r="B13" t="s">
        <v>293</v>
      </c>
      <c r="C13" s="26">
        <v>-0.69020000000000004</v>
      </c>
      <c r="D13" s="21">
        <v>1.2450000000000001</v>
      </c>
      <c r="E13" s="43">
        <v>6.4189999999999996</v>
      </c>
      <c r="F13" s="1" t="str">
        <f>HYPERLINK("http://www.ncbi.nlm.nih.gov/pubmed/?term=Grin2c","Grin2c")</f>
        <v>Grin2c</v>
      </c>
    </row>
    <row r="14" spans="1:6" x14ac:dyDescent="0.25">
      <c r="A14" t="s">
        <v>1370</v>
      </c>
      <c r="B14" t="s">
        <v>1068</v>
      </c>
      <c r="C14" s="21">
        <v>1.363</v>
      </c>
      <c r="D14" s="22">
        <v>3.2959999999999998</v>
      </c>
      <c r="E14" s="16">
        <v>4.8929999999999998</v>
      </c>
      <c r="F14" s="1" t="str">
        <f>HYPERLINK("http://www.ncbi.nlm.nih.gov/pubmed/?term=Slc38a1","Slc38a1")</f>
        <v>Slc38a1</v>
      </c>
    </row>
    <row r="15" spans="1:6" x14ac:dyDescent="0.25">
      <c r="A15" t="s">
        <v>435</v>
      </c>
      <c r="B15" t="s">
        <v>870</v>
      </c>
      <c r="C15" s="26">
        <v>-4.5</v>
      </c>
      <c r="D15" s="26">
        <v>-0.57720000000000005</v>
      </c>
      <c r="E15" s="22">
        <v>3.3319999999999999</v>
      </c>
      <c r="F15" s="1" t="str">
        <f>HYPERLINK("http://www.ncbi.nlm.nih.gov/pubmed/?term=Kcnj3","Kcnj3")</f>
        <v>Kcnj3</v>
      </c>
    </row>
    <row r="16" spans="1:6" x14ac:dyDescent="0.25">
      <c r="A16" t="s">
        <v>1474</v>
      </c>
      <c r="B16" t="s">
        <v>1976</v>
      </c>
      <c r="C16" s="3">
        <v>3.9710000000000001</v>
      </c>
      <c r="D16" s="16">
        <v>4.7439999999999998</v>
      </c>
      <c r="E16" s="43">
        <v>6.95</v>
      </c>
      <c r="F16" s="1" t="str">
        <f>HYPERLINK("http://www.ncbi.nlm.nih.gov/pubmed/?term=Pld1","Pld1")</f>
        <v>Pld1</v>
      </c>
    </row>
    <row r="17" spans="1:6" x14ac:dyDescent="0.25">
      <c r="A17" t="s">
        <v>1375</v>
      </c>
      <c r="B17" t="s">
        <v>416</v>
      </c>
      <c r="C17" s="26">
        <v>0.1993</v>
      </c>
      <c r="D17" s="21">
        <v>1.31</v>
      </c>
      <c r="E17" s="22">
        <v>3.3660000000000001</v>
      </c>
      <c r="F17" s="1" t="str">
        <f>HYPERLINK("http://www.ncbi.nlm.nih.gov/pubmed/?term=Gng2","Gng2")</f>
        <v>Gng2</v>
      </c>
    </row>
    <row r="18" spans="1:6" x14ac:dyDescent="0.25">
      <c r="A18" t="s">
        <v>1327</v>
      </c>
      <c r="B18" t="s">
        <v>1885</v>
      </c>
      <c r="C18" s="26">
        <v>-2.2589999999999999</v>
      </c>
      <c r="D18" s="26">
        <v>-0.27200000000000002</v>
      </c>
      <c r="E18" s="22">
        <v>3.351</v>
      </c>
      <c r="F18" s="1" t="str">
        <f>HYPERLINK("http://www.ncbi.nlm.nih.gov/pubmed/?term=Gls2","Gls2")</f>
        <v>Gls2</v>
      </c>
    </row>
    <row r="19" spans="1:6" x14ac:dyDescent="0.25">
      <c r="A19" t="s">
        <v>909</v>
      </c>
      <c r="B19" t="s">
        <v>1766</v>
      </c>
      <c r="C19" s="21">
        <v>1.18</v>
      </c>
      <c r="D19" s="3">
        <v>4.4390000000000001</v>
      </c>
      <c r="E19" s="43">
        <v>6.1040000000000001</v>
      </c>
      <c r="F19" s="1" t="str">
        <f>HYPERLINK("http://www.ncbi.nlm.nih.gov/pubmed/?term=Pla2g4a","Pla2g4a")</f>
        <v>Pla2g4a</v>
      </c>
    </row>
    <row r="20" spans="1:6" x14ac:dyDescent="0.25">
      <c r="A20" t="s">
        <v>1692</v>
      </c>
      <c r="B20" t="s">
        <v>1106</v>
      </c>
      <c r="C20" s="22">
        <v>3.2069999999999999</v>
      </c>
      <c r="D20" s="3">
        <v>3.5419999999999998</v>
      </c>
      <c r="E20" s="41">
        <v>1.694</v>
      </c>
      <c r="F20" s="1" t="str">
        <f>HYPERLINK("http://www.ncbi.nlm.nih.gov/pubmed/?term=Homer3","Homer3")</f>
        <v>Homer3</v>
      </c>
    </row>
    <row r="21" spans="1:6" x14ac:dyDescent="0.25">
      <c r="A21" t="s">
        <v>1215</v>
      </c>
      <c r="B21" t="s">
        <v>637</v>
      </c>
      <c r="C21" s="43">
        <v>6.4459999999999997</v>
      </c>
      <c r="D21" s="43">
        <v>7.2</v>
      </c>
      <c r="E21" s="16">
        <v>4.6769999999999996</v>
      </c>
      <c r="F21" s="1" t="str">
        <f>HYPERLINK("http://www.ncbi.nlm.nih.gov/pubmed/?term=Glul","Glul")</f>
        <v>Glul</v>
      </c>
    </row>
    <row r="22" spans="1:6" x14ac:dyDescent="0.25">
      <c r="A22" t="s">
        <v>1506</v>
      </c>
      <c r="B22" t="s">
        <v>1331</v>
      </c>
      <c r="C22" s="16">
        <v>4.74</v>
      </c>
      <c r="D22" s="3">
        <v>3.9580000000000002</v>
      </c>
      <c r="E22" s="22">
        <v>2.786</v>
      </c>
      <c r="F22" s="1" t="str">
        <f>HYPERLINK("http://www.ncbi.nlm.nih.gov/pubmed/?term=Prkacb","Prkacb")</f>
        <v>Prkacb</v>
      </c>
    </row>
    <row r="23" spans="1:6" x14ac:dyDescent="0.25">
      <c r="A23" t="s">
        <v>49</v>
      </c>
      <c r="B23" t="s">
        <v>1564</v>
      </c>
      <c r="C23" s="16">
        <v>4.6529999999999996</v>
      </c>
      <c r="D23" s="3">
        <v>3.782</v>
      </c>
      <c r="E23" s="41">
        <v>2.4590000000000001</v>
      </c>
      <c r="F23" s="1" t="str">
        <f>HYPERLINK("http://www.ncbi.nlm.nih.gov/pubmed/?term=Gnaq","Gnaq")</f>
        <v>Gnaq</v>
      </c>
    </row>
    <row r="24" spans="1:6" x14ac:dyDescent="0.25">
      <c r="A24" t="s">
        <v>329</v>
      </c>
      <c r="B24" t="s">
        <v>54</v>
      </c>
      <c r="C24" s="16">
        <v>5.2060000000000004</v>
      </c>
      <c r="D24" s="16">
        <v>4.9320000000000004</v>
      </c>
      <c r="E24" s="3">
        <v>4.3140000000000001</v>
      </c>
      <c r="F24" s="1" t="str">
        <f>HYPERLINK("http://www.ncbi.nlm.nih.gov/pubmed/?term=Gng12","Gng12")</f>
        <v>Gng12</v>
      </c>
    </row>
    <row r="25" spans="1:6" x14ac:dyDescent="0.25">
      <c r="A25" t="s">
        <v>692</v>
      </c>
      <c r="B25" t="s">
        <v>88</v>
      </c>
      <c r="C25" s="22">
        <v>2.6360000000000001</v>
      </c>
      <c r="D25" s="41">
        <v>1.611</v>
      </c>
      <c r="E25" s="3">
        <v>4.3449999999999998</v>
      </c>
      <c r="F25" s="1" t="str">
        <f>HYPERLINK("http://www.ncbi.nlm.nih.gov/pubmed/?term=Gria3","Gria3")</f>
        <v>Gria3</v>
      </c>
    </row>
    <row r="26" spans="1:6" x14ac:dyDescent="0.25">
      <c r="A26" t="s">
        <v>482</v>
      </c>
      <c r="B26" t="s">
        <v>44</v>
      </c>
      <c r="C26" s="26">
        <v>7.9680000000000001E-2</v>
      </c>
      <c r="D26" s="26">
        <v>-0.70120000000000005</v>
      </c>
      <c r="E26" s="3">
        <v>3.97</v>
      </c>
      <c r="F26" s="1" t="str">
        <f>HYPERLINK("http://www.ncbi.nlm.nih.gov/pubmed/?term=Adcy1","Adcy1")</f>
        <v>Adcy1</v>
      </c>
    </row>
    <row r="27" spans="1:6" x14ac:dyDescent="0.25">
      <c r="A27" t="s">
        <v>1671</v>
      </c>
      <c r="B27" t="s">
        <v>2033</v>
      </c>
      <c r="C27" s="16">
        <v>4.8159999999999998</v>
      </c>
      <c r="D27" s="3">
        <v>4.3280000000000003</v>
      </c>
      <c r="E27" s="43">
        <v>6.96</v>
      </c>
      <c r="F27" s="1" t="str">
        <f>HYPERLINK("http://www.ncbi.nlm.nih.gov/pubmed/?term=Gnb4","Gnb4")</f>
        <v>Gnb4</v>
      </c>
    </row>
    <row r="28" spans="1:6" x14ac:dyDescent="0.25">
      <c r="A28" t="s">
        <v>973</v>
      </c>
      <c r="B28" t="s">
        <v>1936</v>
      </c>
      <c r="C28" s="16">
        <v>4.9489999999999998</v>
      </c>
      <c r="D28" s="3">
        <v>4.2130000000000001</v>
      </c>
      <c r="E28" s="43">
        <v>5.6050000000000004</v>
      </c>
      <c r="F28" s="1" t="str">
        <f>HYPERLINK("http://www.ncbi.nlm.nih.gov/pubmed/?term=Plcb4","Plcb4")</f>
        <v>Plcb4</v>
      </c>
    </row>
    <row r="29" spans="1:6" x14ac:dyDescent="0.25">
      <c r="A29" t="s">
        <v>1880</v>
      </c>
      <c r="B29" t="s">
        <v>1077</v>
      </c>
      <c r="C29" s="3">
        <v>3.6549999999999998</v>
      </c>
      <c r="D29" s="22">
        <v>3.3140000000000001</v>
      </c>
      <c r="E29" s="43">
        <v>6.2270000000000003</v>
      </c>
      <c r="F29" s="1" t="str">
        <f>HYPERLINK("http://www.ncbi.nlm.nih.gov/pubmed/?term=Prkca","Prkca")</f>
        <v>Prkca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1063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616</v>
      </c>
      <c r="B5" t="s">
        <v>1691</v>
      </c>
      <c r="C5" s="26">
        <v>-3.294</v>
      </c>
      <c r="D5" s="22">
        <v>3.7839999999999998</v>
      </c>
      <c r="E5" s="23">
        <v>2.464</v>
      </c>
      <c r="F5" s="1" t="str">
        <f>HYPERLINK("http://www.ncbi.nlm.nih.gov/pubmed/?term=Kcnq1","Kcnq1")</f>
        <v>Kcnq1</v>
      </c>
    </row>
    <row r="6" spans="1:6" x14ac:dyDescent="0.25">
      <c r="A6" t="s">
        <v>2016</v>
      </c>
      <c r="B6" t="s">
        <v>1464</v>
      </c>
      <c r="C6" s="26">
        <v>-0.25159999999999999</v>
      </c>
      <c r="D6" s="33">
        <v>4.952</v>
      </c>
      <c r="E6" s="13">
        <v>0.69540000000000002</v>
      </c>
      <c r="F6" s="1" t="str">
        <f>HYPERLINK("http://www.ncbi.nlm.nih.gov/pubmed/?term=Pik3cg","Pik3cg")</f>
        <v>Pik3cg</v>
      </c>
    </row>
    <row r="7" spans="1:6" x14ac:dyDescent="0.25">
      <c r="A7" t="s">
        <v>1335</v>
      </c>
      <c r="B7" t="s">
        <v>1328</v>
      </c>
      <c r="C7" s="13">
        <v>0.53520000000000001</v>
      </c>
      <c r="D7" s="45">
        <v>5.8090000000000002</v>
      </c>
      <c r="E7" s="18">
        <v>2.5489999999999999</v>
      </c>
      <c r="F7" s="1" t="str">
        <f>HYPERLINK("http://www.ncbi.nlm.nih.gov/pubmed/?term=Pik3r5","Pik3r5")</f>
        <v>Pik3r5</v>
      </c>
    </row>
    <row r="8" spans="1:6" x14ac:dyDescent="0.25">
      <c r="A8" t="s">
        <v>1748</v>
      </c>
      <c r="B8" t="s">
        <v>45</v>
      </c>
      <c r="C8" s="26">
        <v>-4.4480000000000004</v>
      </c>
      <c r="D8" s="22">
        <v>3.7269999999999999</v>
      </c>
      <c r="E8" s="26">
        <v>-0.52180000000000004</v>
      </c>
      <c r="F8" s="1" t="str">
        <f>HYPERLINK("http://www.ncbi.nlm.nih.gov/pubmed/?term=Adcy2","Adcy2")</f>
        <v>Adcy2</v>
      </c>
    </row>
    <row r="9" spans="1:6" x14ac:dyDescent="0.25">
      <c r="A9" t="s">
        <v>87</v>
      </c>
      <c r="B9" t="s">
        <v>2034</v>
      </c>
      <c r="C9" s="26">
        <v>-0.22109999999999999</v>
      </c>
      <c r="D9" s="2">
        <v>6.5270000000000001</v>
      </c>
      <c r="E9" s="22">
        <v>3.6469999999999998</v>
      </c>
      <c r="F9" s="1" t="str">
        <f>HYPERLINK("http://www.ncbi.nlm.nih.gov/pubmed/?term=Gnb3","Gnb3")</f>
        <v>Gnb3</v>
      </c>
    </row>
    <row r="10" spans="1:6" x14ac:dyDescent="0.25">
      <c r="A10" t="s">
        <v>287</v>
      </c>
      <c r="B10" t="s">
        <v>367</v>
      </c>
      <c r="C10" s="26">
        <v>-3.1030000000000002</v>
      </c>
      <c r="D10" s="2">
        <v>6.657</v>
      </c>
      <c r="E10" s="22">
        <v>4.4180000000000001</v>
      </c>
      <c r="F10" s="1" t="str">
        <f>HYPERLINK("http://www.ncbi.nlm.nih.gov/pubmed/?term=Gng13","Gng13")</f>
        <v>Gng13</v>
      </c>
    </row>
    <row r="11" spans="1:6" x14ac:dyDescent="0.25">
      <c r="A11" t="s">
        <v>730</v>
      </c>
      <c r="B11" t="s">
        <v>777</v>
      </c>
      <c r="C11" s="23">
        <v>2.1339999999999999</v>
      </c>
      <c r="D11" s="33">
        <v>4.7649999999999997</v>
      </c>
      <c r="E11" s="18">
        <v>2.6150000000000002</v>
      </c>
      <c r="F11" s="1" t="str">
        <f>HYPERLINK("http://www.ncbi.nlm.nih.gov/pubmed/?term=Itpr2","Itpr2")</f>
        <v>Itpr2</v>
      </c>
    </row>
    <row r="12" spans="1:6" x14ac:dyDescent="0.25">
      <c r="A12" t="s">
        <v>1212</v>
      </c>
      <c r="B12" t="s">
        <v>1935</v>
      </c>
      <c r="C12" s="26">
        <v>-0.58730000000000004</v>
      </c>
      <c r="D12" s="45">
        <v>6.1760000000000002</v>
      </c>
      <c r="E12" s="18">
        <v>2.665</v>
      </c>
      <c r="F12" s="1" t="str">
        <f>HYPERLINK("http://www.ncbi.nlm.nih.gov/pubmed/?term=Plcb2","Plcb2")</f>
        <v>Plcb2</v>
      </c>
    </row>
    <row r="13" spans="1:6" x14ac:dyDescent="0.25">
      <c r="A13" t="s">
        <v>1703</v>
      </c>
      <c r="B13" t="s">
        <v>1690</v>
      </c>
      <c r="C13" s="26">
        <v>-0.78839999999999999</v>
      </c>
      <c r="D13" s="22">
        <v>4.476</v>
      </c>
      <c r="E13" s="18">
        <v>2.5499999999999998</v>
      </c>
      <c r="F13" s="1" t="str">
        <f>HYPERLINK("http://www.ncbi.nlm.nih.gov/pubmed/?term=Kcnq3","Kcnq3")</f>
        <v>Kcnq3</v>
      </c>
    </row>
    <row r="14" spans="1:6" x14ac:dyDescent="0.25">
      <c r="A14" t="s">
        <v>695</v>
      </c>
      <c r="B14" t="s">
        <v>362</v>
      </c>
      <c r="C14" s="26">
        <v>-1.089</v>
      </c>
      <c r="D14" s="22">
        <v>3.5209999999999999</v>
      </c>
      <c r="E14" s="2">
        <v>6.6840000000000002</v>
      </c>
      <c r="F14" s="1" t="str">
        <f>HYPERLINK("http://www.ncbi.nlm.nih.gov/pubmed/?term=Cacna1b","Cacna1b")</f>
        <v>Cacna1b</v>
      </c>
    </row>
    <row r="15" spans="1:6" x14ac:dyDescent="0.25">
      <c r="A15" t="s">
        <v>435</v>
      </c>
      <c r="B15" t="s">
        <v>870</v>
      </c>
      <c r="C15" s="26">
        <v>-4.5</v>
      </c>
      <c r="D15" s="26">
        <v>-0.57720000000000005</v>
      </c>
      <c r="E15" s="18">
        <v>3.3319999999999999</v>
      </c>
      <c r="F15" s="1" t="str">
        <f>HYPERLINK("http://www.ncbi.nlm.nih.gov/pubmed/?term=Kcnj3","Kcnj3")</f>
        <v>Kcnj3</v>
      </c>
    </row>
    <row r="16" spans="1:6" x14ac:dyDescent="0.25">
      <c r="A16" t="s">
        <v>333</v>
      </c>
      <c r="B16" t="s">
        <v>1460</v>
      </c>
      <c r="C16" s="26">
        <v>0.44829999999999998</v>
      </c>
      <c r="D16" s="23">
        <v>2.1360000000000001</v>
      </c>
      <c r="E16" s="22">
        <v>3.8809999999999998</v>
      </c>
      <c r="F16" s="1" t="str">
        <f>HYPERLINK("http://www.ncbi.nlm.nih.gov/pubmed/?term=Pik3cb","Pik3cb")</f>
        <v>Pik3cb</v>
      </c>
    </row>
    <row r="17" spans="1:6" x14ac:dyDescent="0.25">
      <c r="A17" t="s">
        <v>1375</v>
      </c>
      <c r="B17" t="s">
        <v>416</v>
      </c>
      <c r="C17" s="26">
        <v>0.1993</v>
      </c>
      <c r="D17" s="13">
        <v>1.31</v>
      </c>
      <c r="E17" s="18">
        <v>3.3660000000000001</v>
      </c>
      <c r="F17" s="1" t="str">
        <f>HYPERLINK("http://www.ncbi.nlm.nih.gov/pubmed/?term=Gng2","Gng2")</f>
        <v>Gng2</v>
      </c>
    </row>
    <row r="18" spans="1:6" x14ac:dyDescent="0.25">
      <c r="A18" t="s">
        <v>1045</v>
      </c>
      <c r="B18" t="s">
        <v>1412</v>
      </c>
      <c r="C18" s="43">
        <v>8.2629999999999999</v>
      </c>
      <c r="D18" s="43">
        <v>8.5969999999999995</v>
      </c>
      <c r="E18" s="2">
        <v>6.7990000000000004</v>
      </c>
      <c r="F18" s="1" t="str">
        <f>HYPERLINK("http://www.ncbi.nlm.nih.gov/pubmed/?term=Fos","Fos")</f>
        <v>Fos</v>
      </c>
    </row>
    <row r="19" spans="1:6" x14ac:dyDescent="0.25">
      <c r="A19" t="s">
        <v>651</v>
      </c>
      <c r="B19" t="s">
        <v>438</v>
      </c>
      <c r="C19" s="18">
        <v>3.008</v>
      </c>
      <c r="D19" s="22">
        <v>4.3090000000000002</v>
      </c>
      <c r="E19" s="23">
        <v>2.335</v>
      </c>
      <c r="F19" s="1" t="str">
        <f>HYPERLINK("http://www.ncbi.nlm.nih.gov/pubmed/?term=Camk2d","Camk2d")</f>
        <v>Camk2d</v>
      </c>
    </row>
    <row r="20" spans="1:6" x14ac:dyDescent="0.25">
      <c r="A20" t="s">
        <v>1506</v>
      </c>
      <c r="B20" t="s">
        <v>1331</v>
      </c>
      <c r="C20" s="33">
        <v>4.74</v>
      </c>
      <c r="D20" s="22">
        <v>3.9580000000000002</v>
      </c>
      <c r="E20" s="18">
        <v>2.786</v>
      </c>
      <c r="F20" s="1" t="str">
        <f>HYPERLINK("http://www.ncbi.nlm.nih.gov/pubmed/?term=Prkacb","Prkacb")</f>
        <v>Prkacb</v>
      </c>
    </row>
    <row r="21" spans="1:6" x14ac:dyDescent="0.25">
      <c r="A21" t="s">
        <v>49</v>
      </c>
      <c r="B21" t="s">
        <v>1564</v>
      </c>
      <c r="C21" s="33">
        <v>4.6529999999999996</v>
      </c>
      <c r="D21" s="22">
        <v>3.782</v>
      </c>
      <c r="E21" s="23">
        <v>2.4590000000000001</v>
      </c>
      <c r="F21" s="1" t="str">
        <f>HYPERLINK("http://www.ncbi.nlm.nih.gov/pubmed/?term=Gnaq","Gnaq")</f>
        <v>Gnaq</v>
      </c>
    </row>
    <row r="22" spans="1:6" x14ac:dyDescent="0.25">
      <c r="A22" t="s">
        <v>2036</v>
      </c>
      <c r="B22" t="s">
        <v>1574</v>
      </c>
      <c r="C22" s="33">
        <v>4.6079999999999997</v>
      </c>
      <c r="D22" s="22">
        <v>3.7130000000000001</v>
      </c>
      <c r="E22" s="18">
        <v>2.661</v>
      </c>
      <c r="F22" s="1" t="str">
        <f>HYPERLINK("http://www.ncbi.nlm.nih.gov/pubmed/?term=Gna11","Gna11")</f>
        <v>Gna11</v>
      </c>
    </row>
    <row r="23" spans="1:6" x14ac:dyDescent="0.25">
      <c r="A23" t="s">
        <v>329</v>
      </c>
      <c r="B23" t="s">
        <v>54</v>
      </c>
      <c r="C23" s="33">
        <v>5.2060000000000004</v>
      </c>
      <c r="D23" s="33">
        <v>4.9320000000000004</v>
      </c>
      <c r="E23" s="22">
        <v>4.3140000000000001</v>
      </c>
      <c r="F23" s="1" t="str">
        <f>HYPERLINK("http://www.ncbi.nlm.nih.gov/pubmed/?term=Gng12","Gng12")</f>
        <v>Gng12</v>
      </c>
    </row>
    <row r="24" spans="1:6" x14ac:dyDescent="0.25">
      <c r="A24" t="s">
        <v>482</v>
      </c>
      <c r="B24" t="s">
        <v>44</v>
      </c>
      <c r="C24" s="26">
        <v>7.9680000000000001E-2</v>
      </c>
      <c r="D24" s="26">
        <v>-0.70120000000000005</v>
      </c>
      <c r="E24" s="22">
        <v>3.97</v>
      </c>
      <c r="F24" s="1" t="str">
        <f>HYPERLINK("http://www.ncbi.nlm.nih.gov/pubmed/?term=Adcy1","Adcy1")</f>
        <v>Adcy1</v>
      </c>
    </row>
    <row r="25" spans="1:6" x14ac:dyDescent="0.25">
      <c r="A25" t="s">
        <v>74</v>
      </c>
      <c r="B25" t="s">
        <v>376</v>
      </c>
      <c r="C25" s="43">
        <v>8.3170000000000002</v>
      </c>
      <c r="D25" s="45">
        <v>5.6</v>
      </c>
      <c r="E25" s="43">
        <v>8.4760000000000009</v>
      </c>
      <c r="F25" s="1" t="str">
        <f>HYPERLINK("http://www.ncbi.nlm.nih.gov/pubmed/?term=Ache","Ache")</f>
        <v>Ache</v>
      </c>
    </row>
    <row r="26" spans="1:6" x14ac:dyDescent="0.25">
      <c r="A26" t="s">
        <v>1671</v>
      </c>
      <c r="B26" t="s">
        <v>2033</v>
      </c>
      <c r="C26" s="33">
        <v>4.8159999999999998</v>
      </c>
      <c r="D26" s="22">
        <v>4.3280000000000003</v>
      </c>
      <c r="E26" s="2">
        <v>6.96</v>
      </c>
      <c r="F26" s="1" t="str">
        <f>HYPERLINK("http://www.ncbi.nlm.nih.gov/pubmed/?term=Gnb4","Gnb4")</f>
        <v>Gnb4</v>
      </c>
    </row>
    <row r="27" spans="1:6" x14ac:dyDescent="0.25">
      <c r="A27" t="s">
        <v>973</v>
      </c>
      <c r="B27" t="s">
        <v>1936</v>
      </c>
      <c r="C27" s="33">
        <v>4.9489999999999998</v>
      </c>
      <c r="D27" s="22">
        <v>4.2130000000000001</v>
      </c>
      <c r="E27" s="45">
        <v>5.6050000000000004</v>
      </c>
      <c r="F27" s="1" t="str">
        <f>HYPERLINK("http://www.ncbi.nlm.nih.gov/pubmed/?term=Plcb4","Plcb4")</f>
        <v>Plcb4</v>
      </c>
    </row>
    <row r="28" spans="1:6" x14ac:dyDescent="0.25">
      <c r="A28" t="s">
        <v>1880</v>
      </c>
      <c r="B28" t="s">
        <v>1077</v>
      </c>
      <c r="C28" s="22">
        <v>3.6549999999999998</v>
      </c>
      <c r="D28" s="18">
        <v>3.3140000000000001</v>
      </c>
      <c r="E28" s="45">
        <v>6.2270000000000003</v>
      </c>
      <c r="F28" s="1" t="str">
        <f>HYPERLINK("http://www.ncbi.nlm.nih.gov/pubmed/?term=Prkca","Prkca")</f>
        <v>Prkca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1400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1748</v>
      </c>
      <c r="B5" t="s">
        <v>45</v>
      </c>
      <c r="C5" s="26">
        <v>-4.4480000000000004</v>
      </c>
      <c r="D5" s="3">
        <v>3.7269999999999999</v>
      </c>
      <c r="E5" s="26">
        <v>-0.52180000000000004</v>
      </c>
      <c r="F5" s="1" t="str">
        <f>HYPERLINK("http://www.ncbi.nlm.nih.gov/pubmed/?term=Adcy2","Adcy2")</f>
        <v>Adcy2</v>
      </c>
    </row>
    <row r="6" spans="1:6" x14ac:dyDescent="0.25">
      <c r="A6" t="s">
        <v>87</v>
      </c>
      <c r="B6" t="s">
        <v>2034</v>
      </c>
      <c r="C6" s="26">
        <v>-0.22109999999999999</v>
      </c>
      <c r="D6" s="43">
        <v>6.5270000000000001</v>
      </c>
      <c r="E6" s="3">
        <v>3.6469999999999998</v>
      </c>
      <c r="F6" s="1" t="str">
        <f>HYPERLINK("http://www.ncbi.nlm.nih.gov/pubmed/?term=Gnb3","Gnb3")</f>
        <v>Gnb3</v>
      </c>
    </row>
    <row r="7" spans="1:6" x14ac:dyDescent="0.25">
      <c r="A7" t="s">
        <v>287</v>
      </c>
      <c r="B7" t="s">
        <v>367</v>
      </c>
      <c r="C7" s="26">
        <v>-3.1030000000000002</v>
      </c>
      <c r="D7" s="43">
        <v>6.657</v>
      </c>
      <c r="E7" s="3">
        <v>4.4180000000000001</v>
      </c>
      <c r="F7" s="1" t="str">
        <f>HYPERLINK("http://www.ncbi.nlm.nih.gov/pubmed/?term=Gng13","Gng13")</f>
        <v>Gng13</v>
      </c>
    </row>
    <row r="8" spans="1:6" x14ac:dyDescent="0.25">
      <c r="A8" t="s">
        <v>695</v>
      </c>
      <c r="B8" t="s">
        <v>362</v>
      </c>
      <c r="C8" s="26">
        <v>-1.089</v>
      </c>
      <c r="D8" s="3">
        <v>3.5209999999999999</v>
      </c>
      <c r="E8" s="43">
        <v>6.6840000000000002</v>
      </c>
      <c r="F8" s="1" t="str">
        <f>HYPERLINK("http://www.ncbi.nlm.nih.gov/pubmed/?term=Cacna1b","Cacna1b")</f>
        <v>Cacna1b</v>
      </c>
    </row>
    <row r="9" spans="1:6" x14ac:dyDescent="0.25">
      <c r="A9" t="s">
        <v>1370</v>
      </c>
      <c r="B9" t="s">
        <v>1068</v>
      </c>
      <c r="C9" s="21">
        <v>1.363</v>
      </c>
      <c r="D9" s="22">
        <v>3.2959999999999998</v>
      </c>
      <c r="E9" s="16">
        <v>4.8929999999999998</v>
      </c>
      <c r="F9" s="1" t="str">
        <f>HYPERLINK("http://www.ncbi.nlm.nih.gov/pubmed/?term=Slc38a1","Slc38a1")</f>
        <v>Slc38a1</v>
      </c>
    </row>
    <row r="10" spans="1:6" x14ac:dyDescent="0.25">
      <c r="A10" t="s">
        <v>1958</v>
      </c>
      <c r="B10" t="s">
        <v>1965</v>
      </c>
      <c r="C10" s="16">
        <v>4.9290000000000003</v>
      </c>
      <c r="D10" s="16">
        <v>5.2320000000000002</v>
      </c>
      <c r="E10" s="43">
        <v>6.2359999999999998</v>
      </c>
      <c r="F10" s="1" t="str">
        <f>HYPERLINK("http://www.ncbi.nlm.nih.gov/pubmed/?term=Src","Src")</f>
        <v>Src</v>
      </c>
    </row>
    <row r="11" spans="1:6" x14ac:dyDescent="0.25">
      <c r="A11" t="s">
        <v>1375</v>
      </c>
      <c r="B11" t="s">
        <v>416</v>
      </c>
      <c r="C11" s="26">
        <v>0.1993</v>
      </c>
      <c r="D11" s="21">
        <v>1.31</v>
      </c>
      <c r="E11" s="22">
        <v>3.3660000000000001</v>
      </c>
      <c r="F11" s="1" t="str">
        <f>HYPERLINK("http://www.ncbi.nlm.nih.gov/pubmed/?term=Gng2","Gng2")</f>
        <v>Gng2</v>
      </c>
    </row>
    <row r="12" spans="1:6" x14ac:dyDescent="0.25">
      <c r="A12" t="s">
        <v>1327</v>
      </c>
      <c r="B12" t="s">
        <v>1885</v>
      </c>
      <c r="C12" s="26">
        <v>-2.2589999999999999</v>
      </c>
      <c r="D12" s="26">
        <v>-0.27200000000000002</v>
      </c>
      <c r="E12" s="22">
        <v>3.351</v>
      </c>
      <c r="F12" s="1" t="str">
        <f>HYPERLINK("http://www.ncbi.nlm.nih.gov/pubmed/?term=Gls2","Gls2")</f>
        <v>Gls2</v>
      </c>
    </row>
    <row r="13" spans="1:6" x14ac:dyDescent="0.25">
      <c r="A13" t="s">
        <v>607</v>
      </c>
      <c r="B13" t="s">
        <v>1585</v>
      </c>
      <c r="C13" s="3">
        <v>4.0250000000000004</v>
      </c>
      <c r="D13" s="3">
        <v>4.2060000000000004</v>
      </c>
      <c r="E13" s="41">
        <v>2.218</v>
      </c>
      <c r="F13" s="1" t="str">
        <f>HYPERLINK("http://www.ncbi.nlm.nih.gov/pubmed/?term=Gabbr1","Gabbr1")</f>
        <v>Gabbr1</v>
      </c>
    </row>
    <row r="14" spans="1:6" x14ac:dyDescent="0.25">
      <c r="A14" t="s">
        <v>1215</v>
      </c>
      <c r="B14" t="s">
        <v>637</v>
      </c>
      <c r="C14" s="43">
        <v>6.4459999999999997</v>
      </c>
      <c r="D14" s="43">
        <v>7.2</v>
      </c>
      <c r="E14" s="16">
        <v>4.6769999999999996</v>
      </c>
      <c r="F14" s="1" t="str">
        <f>HYPERLINK("http://www.ncbi.nlm.nih.gov/pubmed/?term=Glul","Glul")</f>
        <v>Glul</v>
      </c>
    </row>
    <row r="15" spans="1:6" x14ac:dyDescent="0.25">
      <c r="A15" t="s">
        <v>1506</v>
      </c>
      <c r="B15" t="s">
        <v>1331</v>
      </c>
      <c r="C15" s="16">
        <v>4.74</v>
      </c>
      <c r="D15" s="3">
        <v>3.9580000000000002</v>
      </c>
      <c r="E15" s="22">
        <v>2.786</v>
      </c>
      <c r="F15" s="1" t="str">
        <f>HYPERLINK("http://www.ncbi.nlm.nih.gov/pubmed/?term=Prkacb","Prkacb")</f>
        <v>Prkacb</v>
      </c>
    </row>
    <row r="16" spans="1:6" x14ac:dyDescent="0.25">
      <c r="A16" t="s">
        <v>555</v>
      </c>
      <c r="B16" t="s">
        <v>396</v>
      </c>
      <c r="C16" s="43">
        <v>5.5209999999999999</v>
      </c>
      <c r="D16" s="16">
        <v>4.524</v>
      </c>
      <c r="E16" s="22">
        <v>3.4649999999999999</v>
      </c>
      <c r="F16" s="1" t="str">
        <f>HYPERLINK("http://www.ncbi.nlm.nih.gov/pubmed/?term=Gabarapl1","Gabarapl1")</f>
        <v>Gabarapl1</v>
      </c>
    </row>
    <row r="17" spans="1:6" x14ac:dyDescent="0.25">
      <c r="A17" t="s">
        <v>329</v>
      </c>
      <c r="B17" t="s">
        <v>54</v>
      </c>
      <c r="C17" s="16">
        <v>5.2060000000000004</v>
      </c>
      <c r="D17" s="16">
        <v>4.9320000000000004</v>
      </c>
      <c r="E17" s="3">
        <v>4.3140000000000001</v>
      </c>
      <c r="F17" s="1" t="str">
        <f>HYPERLINK("http://www.ncbi.nlm.nih.gov/pubmed/?term=Gng12","Gng12")</f>
        <v>Gng12</v>
      </c>
    </row>
    <row r="18" spans="1:6" x14ac:dyDescent="0.25">
      <c r="A18" t="s">
        <v>482</v>
      </c>
      <c r="B18" t="s">
        <v>44</v>
      </c>
      <c r="C18" s="26">
        <v>7.9680000000000001E-2</v>
      </c>
      <c r="D18" s="26">
        <v>-0.70120000000000005</v>
      </c>
      <c r="E18" s="3">
        <v>3.97</v>
      </c>
      <c r="F18" s="1" t="str">
        <f>HYPERLINK("http://www.ncbi.nlm.nih.gov/pubmed/?term=Adcy1","Adcy1")</f>
        <v>Adcy1</v>
      </c>
    </row>
    <row r="19" spans="1:6" x14ac:dyDescent="0.25">
      <c r="A19" t="s">
        <v>1671</v>
      </c>
      <c r="B19" t="s">
        <v>2033</v>
      </c>
      <c r="C19" s="16">
        <v>4.8159999999999998</v>
      </c>
      <c r="D19" s="3">
        <v>4.3280000000000003</v>
      </c>
      <c r="E19" s="43">
        <v>6.96</v>
      </c>
      <c r="F19" s="1" t="str">
        <f>HYPERLINK("http://www.ncbi.nlm.nih.gov/pubmed/?term=Gnb4","Gnb4")</f>
        <v>Gnb4</v>
      </c>
    </row>
    <row r="20" spans="1:6" x14ac:dyDescent="0.25">
      <c r="A20" t="s">
        <v>1387</v>
      </c>
      <c r="B20" t="s">
        <v>433</v>
      </c>
      <c r="C20" s="3">
        <v>3.72</v>
      </c>
      <c r="D20" s="3">
        <v>3.7160000000000002</v>
      </c>
      <c r="E20" s="16">
        <v>4.99</v>
      </c>
      <c r="F20" s="1" t="str">
        <f>HYPERLINK("http://www.ncbi.nlm.nih.gov/pubmed/?term=Gphn","Gphn")</f>
        <v>Gphn</v>
      </c>
    </row>
    <row r="21" spans="1:6" x14ac:dyDescent="0.25">
      <c r="A21" t="s">
        <v>1880</v>
      </c>
      <c r="B21" t="s">
        <v>1077</v>
      </c>
      <c r="C21" s="3">
        <v>3.6549999999999998</v>
      </c>
      <c r="D21" s="22">
        <v>3.3140000000000001</v>
      </c>
      <c r="E21" s="43">
        <v>6.2270000000000003</v>
      </c>
      <c r="F21" s="1" t="str">
        <f>HYPERLINK("http://www.ncbi.nlm.nih.gov/pubmed/?term=Prkca","Prkca")</f>
        <v>Prkca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556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730</v>
      </c>
      <c r="B5" t="s">
        <v>777</v>
      </c>
      <c r="C5" s="36">
        <v>2.1339999999999999</v>
      </c>
      <c r="D5" s="27">
        <v>4.7649999999999997</v>
      </c>
      <c r="E5" s="47">
        <v>2.6150000000000002</v>
      </c>
      <c r="F5" s="1" t="str">
        <f>HYPERLINK("http://www.ncbi.nlm.nih.gov/pubmed/?term=Itpr2","Itpr2")</f>
        <v>Itpr2</v>
      </c>
    </row>
    <row r="6" spans="1:6" x14ac:dyDescent="0.25">
      <c r="A6" t="s">
        <v>1169</v>
      </c>
      <c r="B6" t="s">
        <v>62</v>
      </c>
      <c r="C6" s="26">
        <v>-2.363</v>
      </c>
      <c r="D6" s="28">
        <v>5.6109999999999998</v>
      </c>
      <c r="E6" s="27">
        <v>5.3639999999999999</v>
      </c>
      <c r="F6" s="1" t="str">
        <f>HYPERLINK("http://www.ncbi.nlm.nih.gov/pubmed/?term=Calm4","Calm4")</f>
        <v>Calm4</v>
      </c>
    </row>
    <row r="7" spans="1:6" x14ac:dyDescent="0.25">
      <c r="A7" t="s">
        <v>1212</v>
      </c>
      <c r="B7" t="s">
        <v>1935</v>
      </c>
      <c r="C7" s="26">
        <v>-0.58730000000000004</v>
      </c>
      <c r="D7" s="28">
        <v>6.1760000000000002</v>
      </c>
      <c r="E7" s="47">
        <v>2.665</v>
      </c>
      <c r="F7" s="1" t="str">
        <f>HYPERLINK("http://www.ncbi.nlm.nih.gov/pubmed/?term=Plcb2","Plcb2")</f>
        <v>Plcb2</v>
      </c>
    </row>
    <row r="8" spans="1:6" x14ac:dyDescent="0.25">
      <c r="A8" t="s">
        <v>1382</v>
      </c>
      <c r="B8" t="s">
        <v>440</v>
      </c>
      <c r="C8" s="26">
        <v>-1.218</v>
      </c>
      <c r="D8" s="42">
        <v>3.7610000000000001</v>
      </c>
      <c r="E8" s="47">
        <v>3.367</v>
      </c>
      <c r="F8" s="1" t="str">
        <f>HYPERLINK("http://www.ncbi.nlm.nih.gov/pubmed/?term=Camk2b","Camk2b")</f>
        <v>Camk2b</v>
      </c>
    </row>
    <row r="9" spans="1:6" x14ac:dyDescent="0.25">
      <c r="A9" t="s">
        <v>2047</v>
      </c>
      <c r="B9" t="s">
        <v>296</v>
      </c>
      <c r="C9" s="26">
        <v>-2.004</v>
      </c>
      <c r="D9" s="26">
        <v>0.45179999999999998</v>
      </c>
      <c r="E9" s="47">
        <v>3.4060000000000001</v>
      </c>
      <c r="F9" s="1" t="str">
        <f>HYPERLINK("http://www.ncbi.nlm.nih.gov/pubmed/?term=Grin2d","Grin2d")</f>
        <v>Grin2d</v>
      </c>
    </row>
    <row r="10" spans="1:6" x14ac:dyDescent="0.25">
      <c r="A10" t="s">
        <v>299</v>
      </c>
      <c r="B10" t="s">
        <v>293</v>
      </c>
      <c r="C10" s="26">
        <v>-0.69020000000000004</v>
      </c>
      <c r="D10" s="14">
        <v>1.2450000000000001</v>
      </c>
      <c r="E10" s="28">
        <v>6.4189999999999996</v>
      </c>
      <c r="F10" s="1" t="str">
        <f>HYPERLINK("http://www.ncbi.nlm.nih.gov/pubmed/?term=Grin2c","Grin2c")</f>
        <v>Grin2c</v>
      </c>
    </row>
    <row r="11" spans="1:6" x14ac:dyDescent="0.25">
      <c r="A11" t="s">
        <v>2023</v>
      </c>
      <c r="B11" t="s">
        <v>897</v>
      </c>
      <c r="C11" s="42">
        <v>4.37</v>
      </c>
      <c r="D11" s="27">
        <v>5.0970000000000004</v>
      </c>
      <c r="E11" s="27">
        <v>5.4119999999999999</v>
      </c>
      <c r="F11" s="1" t="str">
        <f>HYPERLINK("http://www.ncbi.nlm.nih.gov/pubmed/?term=Hras1","Hras1")</f>
        <v>Hras1</v>
      </c>
    </row>
    <row r="12" spans="1:6" x14ac:dyDescent="0.25">
      <c r="A12" t="s">
        <v>2124</v>
      </c>
      <c r="B12" t="s">
        <v>2188</v>
      </c>
      <c r="C12" s="26">
        <v>-1.919</v>
      </c>
      <c r="D12" s="28">
        <v>5.5629999999999997</v>
      </c>
      <c r="E12" s="28">
        <v>5.6420000000000003</v>
      </c>
      <c r="F12" s="1" t="str">
        <f>HYPERLINK("http://www.ncbi.nlm.nih.gov/pubmed/?term=Calml3","Calml3")</f>
        <v>Calml3</v>
      </c>
    </row>
    <row r="13" spans="1:6" x14ac:dyDescent="0.25">
      <c r="A13" t="s">
        <v>686</v>
      </c>
      <c r="B13" t="s">
        <v>593</v>
      </c>
      <c r="C13" s="43">
        <v>7.6289999999999996</v>
      </c>
      <c r="D13" s="43">
        <v>8.4730000000000008</v>
      </c>
      <c r="E13" s="43">
        <v>7.0110000000000001</v>
      </c>
      <c r="F13" s="1" t="str">
        <f>HYPERLINK("http://www.ncbi.nlm.nih.gov/pubmed/?term=Calm2","Calm2")</f>
        <v>Calm2</v>
      </c>
    </row>
    <row r="14" spans="1:6" x14ac:dyDescent="0.25">
      <c r="A14" t="s">
        <v>651</v>
      </c>
      <c r="B14" t="s">
        <v>438</v>
      </c>
      <c r="C14" s="47">
        <v>3.008</v>
      </c>
      <c r="D14" s="42">
        <v>4.3090000000000002</v>
      </c>
      <c r="E14" s="36">
        <v>2.335</v>
      </c>
      <c r="F14" s="1" t="str">
        <f>HYPERLINK("http://www.ncbi.nlm.nih.gov/pubmed/?term=Camk2d","Camk2d")</f>
        <v>Camk2d</v>
      </c>
    </row>
    <row r="15" spans="1:6" x14ac:dyDescent="0.25">
      <c r="A15" t="s">
        <v>1351</v>
      </c>
      <c r="B15" t="s">
        <v>654</v>
      </c>
      <c r="C15" s="47">
        <v>3.36</v>
      </c>
      <c r="D15" s="42">
        <v>3.6749999999999998</v>
      </c>
      <c r="E15" s="36">
        <v>2.1040000000000001</v>
      </c>
      <c r="F15" s="1" t="str">
        <f>HYPERLINK("http://www.ncbi.nlm.nih.gov/pubmed/?term=Ppp1r12b","Ppp1r12b")</f>
        <v>Ppp1r12b</v>
      </c>
    </row>
    <row r="16" spans="1:6" x14ac:dyDescent="0.25">
      <c r="A16" t="s">
        <v>1143</v>
      </c>
      <c r="B16" t="s">
        <v>595</v>
      </c>
      <c r="C16" s="43">
        <v>6.7370000000000001</v>
      </c>
      <c r="D16" s="28">
        <v>6.1340000000000003</v>
      </c>
      <c r="E16" s="28">
        <v>5.6020000000000003</v>
      </c>
      <c r="F16" s="1" t="str">
        <f>HYPERLINK("http://www.ncbi.nlm.nih.gov/pubmed/?term=Calm1","Calm1")</f>
        <v>Calm1</v>
      </c>
    </row>
    <row r="17" spans="1:6" x14ac:dyDescent="0.25">
      <c r="A17" t="s">
        <v>1506</v>
      </c>
      <c r="B17" t="s">
        <v>1331</v>
      </c>
      <c r="C17" s="27">
        <v>4.74</v>
      </c>
      <c r="D17" s="42">
        <v>3.9580000000000002</v>
      </c>
      <c r="E17" s="47">
        <v>2.786</v>
      </c>
      <c r="F17" s="1" t="str">
        <f>HYPERLINK("http://www.ncbi.nlm.nih.gov/pubmed/?term=Prkacb","Prkacb")</f>
        <v>Prkacb</v>
      </c>
    </row>
    <row r="18" spans="1:6" x14ac:dyDescent="0.25">
      <c r="A18" t="s">
        <v>2079</v>
      </c>
      <c r="B18" t="s">
        <v>439</v>
      </c>
      <c r="C18" s="42">
        <v>4.1420000000000003</v>
      </c>
      <c r="D18" s="47">
        <v>3.1230000000000002</v>
      </c>
      <c r="E18" s="47">
        <v>2.609</v>
      </c>
      <c r="F18" s="1" t="str">
        <f>HYPERLINK("http://www.ncbi.nlm.nih.gov/pubmed/?term=Camk2g","Camk2g")</f>
        <v>Camk2g</v>
      </c>
    </row>
    <row r="19" spans="1:6" x14ac:dyDescent="0.25">
      <c r="A19" t="s">
        <v>49</v>
      </c>
      <c r="B19" t="s">
        <v>1564</v>
      </c>
      <c r="C19" s="27">
        <v>4.6529999999999996</v>
      </c>
      <c r="D19" s="42">
        <v>3.782</v>
      </c>
      <c r="E19" s="36">
        <v>2.4590000000000001</v>
      </c>
      <c r="F19" s="1" t="str">
        <f>HYPERLINK("http://www.ncbi.nlm.nih.gov/pubmed/?term=Gnaq","Gnaq")</f>
        <v>Gnaq</v>
      </c>
    </row>
    <row r="20" spans="1:6" x14ac:dyDescent="0.25">
      <c r="A20" t="s">
        <v>1546</v>
      </c>
      <c r="B20" t="s">
        <v>518</v>
      </c>
      <c r="C20" s="28">
        <v>5.74</v>
      </c>
      <c r="D20" s="42">
        <v>4.1070000000000002</v>
      </c>
      <c r="E20" s="42">
        <v>3.919</v>
      </c>
      <c r="F20" s="1" t="str">
        <f>HYPERLINK("http://www.ncbi.nlm.nih.gov/pubmed/?term=Camk4","Camk4")</f>
        <v>Camk4</v>
      </c>
    </row>
    <row r="21" spans="1:6" x14ac:dyDescent="0.25">
      <c r="A21" t="s">
        <v>482</v>
      </c>
      <c r="B21" t="s">
        <v>44</v>
      </c>
      <c r="C21" s="26">
        <v>7.9680000000000001E-2</v>
      </c>
      <c r="D21" s="26">
        <v>-0.70120000000000005</v>
      </c>
      <c r="E21" s="42">
        <v>3.97</v>
      </c>
      <c r="F21" s="1" t="str">
        <f>HYPERLINK("http://www.ncbi.nlm.nih.gov/pubmed/?term=Adcy1","Adcy1")</f>
        <v>Adcy1</v>
      </c>
    </row>
    <row r="22" spans="1:6" x14ac:dyDescent="0.25">
      <c r="A22" t="s">
        <v>973</v>
      </c>
      <c r="B22" t="s">
        <v>1936</v>
      </c>
      <c r="C22" s="27">
        <v>4.9489999999999998</v>
      </c>
      <c r="D22" s="42">
        <v>4.2130000000000001</v>
      </c>
      <c r="E22" s="28">
        <v>5.6050000000000004</v>
      </c>
      <c r="F22" s="1" t="str">
        <f>HYPERLINK("http://www.ncbi.nlm.nih.gov/pubmed/?term=Plcb4","Plcb4")</f>
        <v>Plcb4</v>
      </c>
    </row>
    <row r="23" spans="1:6" x14ac:dyDescent="0.25">
      <c r="A23" t="s">
        <v>1880</v>
      </c>
      <c r="B23" t="s">
        <v>1077</v>
      </c>
      <c r="C23" s="42">
        <v>3.6549999999999998</v>
      </c>
      <c r="D23" s="47">
        <v>3.3140000000000001</v>
      </c>
      <c r="E23" s="28">
        <v>6.2270000000000003</v>
      </c>
      <c r="F23" s="1" t="str">
        <f>HYPERLINK("http://www.ncbi.nlm.nih.gov/pubmed/?term=Prkca","Prkca")</f>
        <v>Prkca</v>
      </c>
    </row>
    <row r="24" spans="1:6" x14ac:dyDescent="0.25">
      <c r="A24" t="s">
        <v>159</v>
      </c>
      <c r="B24" t="s">
        <v>1644</v>
      </c>
      <c r="C24" s="43">
        <v>6.5579999999999998</v>
      </c>
      <c r="D24" s="27">
        <v>4.7640000000000002</v>
      </c>
      <c r="E24" s="27">
        <v>5.4039999999999999</v>
      </c>
      <c r="F24" s="1" t="str">
        <f>HYPERLINK("http://www.ncbi.nlm.nih.gov/pubmed/?term=Map2k1","Map2k1")</f>
        <v>Map2k1</v>
      </c>
    </row>
    <row r="25" spans="1:6" x14ac:dyDescent="0.25">
      <c r="A25" t="s">
        <v>1907</v>
      </c>
      <c r="B25" t="s">
        <v>594</v>
      </c>
      <c r="C25" s="43">
        <v>6.91</v>
      </c>
      <c r="D25" s="28">
        <v>6.0519999999999996</v>
      </c>
      <c r="E25" s="28">
        <v>6.492</v>
      </c>
      <c r="F25" s="1" t="str">
        <f>HYPERLINK("http://www.ncbi.nlm.nih.gov/pubmed/?term=Calm3","Calm3")</f>
        <v>Calm3</v>
      </c>
    </row>
    <row r="26" spans="1:6" x14ac:dyDescent="0.25">
      <c r="A26" t="s">
        <v>2142</v>
      </c>
      <c r="B26" t="s">
        <v>944</v>
      </c>
      <c r="C26" s="27">
        <v>5.0490000000000004</v>
      </c>
      <c r="D26" s="47">
        <v>3.4820000000000002</v>
      </c>
      <c r="E26" s="42">
        <v>3.6070000000000002</v>
      </c>
      <c r="F26" s="1" t="str">
        <f>HYPERLINK("http://www.ncbi.nlm.nih.gov/pubmed/?term=Rps6ka3","Rps6ka3")</f>
        <v>Rps6ka3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267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1748</v>
      </c>
      <c r="B5" t="s">
        <v>45</v>
      </c>
      <c r="C5" s="26">
        <v>-4.4480000000000004</v>
      </c>
      <c r="D5" s="3">
        <v>3.7269999999999999</v>
      </c>
      <c r="E5" s="26">
        <v>-0.52180000000000004</v>
      </c>
      <c r="F5" s="1" t="str">
        <f>HYPERLINK("http://www.ncbi.nlm.nih.gov/pubmed/?term=Adcy2","Adcy2")</f>
        <v>Adcy2</v>
      </c>
    </row>
    <row r="6" spans="1:6" x14ac:dyDescent="0.25">
      <c r="A6" t="s">
        <v>273</v>
      </c>
      <c r="B6" t="s">
        <v>326</v>
      </c>
      <c r="C6" s="41">
        <v>2.0070000000000001</v>
      </c>
      <c r="D6" s="16">
        <v>4.7039999999999997</v>
      </c>
      <c r="E6" s="22">
        <v>3.1</v>
      </c>
      <c r="F6" s="1" t="str">
        <f>HYPERLINK("http://www.ncbi.nlm.nih.gov/pubmed/?term=Pde1b","Pde1b")</f>
        <v>Pde1b</v>
      </c>
    </row>
    <row r="7" spans="1:6" x14ac:dyDescent="0.25">
      <c r="A7" t="s">
        <v>87</v>
      </c>
      <c r="B7" t="s">
        <v>2034</v>
      </c>
      <c r="C7" s="26">
        <v>-0.22109999999999999</v>
      </c>
      <c r="D7" s="43">
        <v>6.5270000000000001</v>
      </c>
      <c r="E7" s="3">
        <v>3.6469999999999998</v>
      </c>
      <c r="F7" s="1" t="str">
        <f>HYPERLINK("http://www.ncbi.nlm.nih.gov/pubmed/?term=Gnb3","Gnb3")</f>
        <v>Gnb3</v>
      </c>
    </row>
    <row r="8" spans="1:6" x14ac:dyDescent="0.25">
      <c r="A8" t="s">
        <v>287</v>
      </c>
      <c r="B8" t="s">
        <v>367</v>
      </c>
      <c r="C8" s="26">
        <v>-3.1030000000000002</v>
      </c>
      <c r="D8" s="43">
        <v>6.657</v>
      </c>
      <c r="E8" s="3">
        <v>4.4180000000000001</v>
      </c>
      <c r="F8" s="1" t="str">
        <f>HYPERLINK("http://www.ncbi.nlm.nih.gov/pubmed/?term=Gng13","Gng13")</f>
        <v>Gng13</v>
      </c>
    </row>
    <row r="9" spans="1:6" x14ac:dyDescent="0.25">
      <c r="A9" t="s">
        <v>182</v>
      </c>
      <c r="B9" t="s">
        <v>197</v>
      </c>
      <c r="C9" s="26">
        <v>-2.1240000000000001</v>
      </c>
      <c r="D9" s="16">
        <v>4.53</v>
      </c>
      <c r="E9" s="41">
        <v>1.8380000000000001</v>
      </c>
      <c r="F9" s="1" t="str">
        <f>HYPERLINK("http://www.ncbi.nlm.nih.gov/pubmed/?term=Pde2a","Pde2a")</f>
        <v>Pde2a</v>
      </c>
    </row>
    <row r="10" spans="1:6" x14ac:dyDescent="0.25">
      <c r="A10" t="s">
        <v>695</v>
      </c>
      <c r="B10" t="s">
        <v>362</v>
      </c>
      <c r="C10" s="26">
        <v>-1.089</v>
      </c>
      <c r="D10" s="3">
        <v>3.5209999999999999</v>
      </c>
      <c r="E10" s="43">
        <v>6.6840000000000002</v>
      </c>
      <c r="F10" s="1" t="str">
        <f>HYPERLINK("http://www.ncbi.nlm.nih.gov/pubmed/?term=Cacna1b","Cacna1b")</f>
        <v>Cacna1b</v>
      </c>
    </row>
    <row r="11" spans="1:6" x14ac:dyDescent="0.25">
      <c r="A11" t="s">
        <v>1530</v>
      </c>
      <c r="B11" t="s">
        <v>325</v>
      </c>
      <c r="C11" s="21">
        <v>0.5161</v>
      </c>
      <c r="D11" s="3">
        <v>3.52</v>
      </c>
      <c r="E11" s="16">
        <v>5.1020000000000003</v>
      </c>
      <c r="F11" s="1" t="str">
        <f>HYPERLINK("http://www.ncbi.nlm.nih.gov/pubmed/?term=Pde1c","Pde1c")</f>
        <v>Pde1c</v>
      </c>
    </row>
    <row r="12" spans="1:6" x14ac:dyDescent="0.25">
      <c r="A12" t="s">
        <v>435</v>
      </c>
      <c r="B12" t="s">
        <v>870</v>
      </c>
      <c r="C12" s="26">
        <v>-4.5</v>
      </c>
      <c r="D12" s="26">
        <v>-0.57720000000000005</v>
      </c>
      <c r="E12" s="22">
        <v>3.3319999999999999</v>
      </c>
      <c r="F12" s="1" t="str">
        <f>HYPERLINK("http://www.ncbi.nlm.nih.gov/pubmed/?term=Kcnj3","Kcnj3")</f>
        <v>Kcnj3</v>
      </c>
    </row>
    <row r="13" spans="1:6" x14ac:dyDescent="0.25">
      <c r="A13" t="s">
        <v>1362</v>
      </c>
      <c r="B13" t="s">
        <v>1039</v>
      </c>
      <c r="C13" s="26">
        <v>-3.1070000000000002</v>
      </c>
      <c r="D13" s="26">
        <v>-1.1359999999999999</v>
      </c>
      <c r="E13" s="22">
        <v>3.323</v>
      </c>
      <c r="F13" s="1" t="str">
        <f>HYPERLINK("http://www.ncbi.nlm.nih.gov/pubmed/?term=Pde4c","Pde4c")</f>
        <v>Pde4c</v>
      </c>
    </row>
    <row r="14" spans="1:6" x14ac:dyDescent="0.25">
      <c r="A14" t="s">
        <v>1375</v>
      </c>
      <c r="B14" t="s">
        <v>416</v>
      </c>
      <c r="C14" s="26">
        <v>0.1993</v>
      </c>
      <c r="D14" s="21">
        <v>1.31</v>
      </c>
      <c r="E14" s="22">
        <v>3.3660000000000001</v>
      </c>
      <c r="F14" s="1" t="str">
        <f>HYPERLINK("http://www.ncbi.nlm.nih.gov/pubmed/?term=Gng2","Gng2")</f>
        <v>Gng2</v>
      </c>
    </row>
    <row r="15" spans="1:6" x14ac:dyDescent="0.25">
      <c r="A15" t="s">
        <v>836</v>
      </c>
      <c r="B15" t="s">
        <v>638</v>
      </c>
      <c r="C15" s="22">
        <v>3.403</v>
      </c>
      <c r="D15" s="3">
        <v>4.1059999999999999</v>
      </c>
      <c r="E15" s="43">
        <v>5.5940000000000003</v>
      </c>
      <c r="F15" s="1" t="str">
        <f>HYPERLINK("http://www.ncbi.nlm.nih.gov/pubmed/?term=Arrb2","Arrb2")</f>
        <v>Arrb2</v>
      </c>
    </row>
    <row r="16" spans="1:6" x14ac:dyDescent="0.25">
      <c r="A16" t="s">
        <v>607</v>
      </c>
      <c r="B16" t="s">
        <v>1585</v>
      </c>
      <c r="C16" s="3">
        <v>4.0250000000000004</v>
      </c>
      <c r="D16" s="3">
        <v>4.2060000000000004</v>
      </c>
      <c r="E16" s="41">
        <v>2.218</v>
      </c>
      <c r="F16" s="1" t="str">
        <f>HYPERLINK("http://www.ncbi.nlm.nih.gov/pubmed/?term=Gabbr1","Gabbr1")</f>
        <v>Gabbr1</v>
      </c>
    </row>
    <row r="17" spans="1:6" x14ac:dyDescent="0.25">
      <c r="A17" t="s">
        <v>1567</v>
      </c>
      <c r="B17" t="s">
        <v>646</v>
      </c>
      <c r="C17" s="22">
        <v>3.13</v>
      </c>
      <c r="D17" s="3">
        <v>3.9209999999999998</v>
      </c>
      <c r="E17" s="22">
        <v>2.5270000000000001</v>
      </c>
      <c r="F17" s="1" t="str">
        <f>HYPERLINK("http://www.ncbi.nlm.nih.gov/pubmed/?term=Pde7a","Pde7a")</f>
        <v>Pde7a</v>
      </c>
    </row>
    <row r="18" spans="1:6" x14ac:dyDescent="0.25">
      <c r="A18" t="s">
        <v>1476</v>
      </c>
      <c r="B18" t="s">
        <v>1123</v>
      </c>
      <c r="C18" s="3">
        <v>3.8420000000000001</v>
      </c>
      <c r="D18" s="16">
        <v>4.9180000000000001</v>
      </c>
      <c r="E18" s="3">
        <v>3.6480000000000001</v>
      </c>
      <c r="F18" s="1" t="str">
        <f>HYPERLINK("http://www.ncbi.nlm.nih.gov/pubmed/?term=Grk6","Grk6")</f>
        <v>Grk6</v>
      </c>
    </row>
    <row r="19" spans="1:6" x14ac:dyDescent="0.25">
      <c r="A19" t="s">
        <v>1506</v>
      </c>
      <c r="B19" t="s">
        <v>1331</v>
      </c>
      <c r="C19" s="16">
        <v>4.74</v>
      </c>
      <c r="D19" s="3">
        <v>3.9580000000000002</v>
      </c>
      <c r="E19" s="22">
        <v>2.786</v>
      </c>
      <c r="F19" s="1" t="str">
        <f>HYPERLINK("http://www.ncbi.nlm.nih.gov/pubmed/?term=Prkacb","Prkacb")</f>
        <v>Prkacb</v>
      </c>
    </row>
    <row r="20" spans="1:6" x14ac:dyDescent="0.25">
      <c r="A20" t="s">
        <v>329</v>
      </c>
      <c r="B20" t="s">
        <v>54</v>
      </c>
      <c r="C20" s="16">
        <v>5.2060000000000004</v>
      </c>
      <c r="D20" s="16">
        <v>4.9320000000000004</v>
      </c>
      <c r="E20" s="3">
        <v>4.3140000000000001</v>
      </c>
      <c r="F20" s="1" t="str">
        <f>HYPERLINK("http://www.ncbi.nlm.nih.gov/pubmed/?term=Gng12","Gng12")</f>
        <v>Gng12</v>
      </c>
    </row>
    <row r="21" spans="1:6" x14ac:dyDescent="0.25">
      <c r="A21" t="s">
        <v>104</v>
      </c>
      <c r="B21" t="s">
        <v>2025</v>
      </c>
      <c r="C21" s="3">
        <v>4.0880000000000001</v>
      </c>
      <c r="D21" s="3">
        <v>4.0830000000000002</v>
      </c>
      <c r="E21" s="16">
        <v>5.1139999999999999</v>
      </c>
      <c r="F21" s="1" t="str">
        <f>HYPERLINK("http://www.ncbi.nlm.nih.gov/pubmed/?term=Grk5","Grk5")</f>
        <v>Grk5</v>
      </c>
    </row>
    <row r="22" spans="1:6" x14ac:dyDescent="0.25">
      <c r="A22" t="s">
        <v>482</v>
      </c>
      <c r="B22" t="s">
        <v>44</v>
      </c>
      <c r="C22" s="26">
        <v>7.9680000000000001E-2</v>
      </c>
      <c r="D22" s="26">
        <v>-0.70120000000000005</v>
      </c>
      <c r="E22" s="3">
        <v>3.97</v>
      </c>
      <c r="F22" s="1" t="str">
        <f>HYPERLINK("http://www.ncbi.nlm.nih.gov/pubmed/?term=Adcy1","Adcy1")</f>
        <v>Adcy1</v>
      </c>
    </row>
    <row r="23" spans="1:6" x14ac:dyDescent="0.25">
      <c r="A23" t="s">
        <v>1671</v>
      </c>
      <c r="B23" t="s">
        <v>2033</v>
      </c>
      <c r="C23" s="16">
        <v>4.8159999999999998</v>
      </c>
      <c r="D23" s="3">
        <v>4.3280000000000003</v>
      </c>
      <c r="E23" s="43">
        <v>6.96</v>
      </c>
      <c r="F23" s="1" t="str">
        <f>HYPERLINK("http://www.ncbi.nlm.nih.gov/pubmed/?term=Gnb4","Gnb4")</f>
        <v>Gnb4</v>
      </c>
    </row>
    <row r="24" spans="1:6" x14ac:dyDescent="0.25">
      <c r="A24" t="s">
        <v>284</v>
      </c>
      <c r="B24" t="s">
        <v>330</v>
      </c>
      <c r="C24" s="43">
        <v>5.8849999999999998</v>
      </c>
      <c r="D24" s="16">
        <v>5.1020000000000003</v>
      </c>
      <c r="E24" s="43">
        <v>6.6680000000000001</v>
      </c>
      <c r="F24" s="1" t="str">
        <f>HYPERLINK("http://www.ncbi.nlm.nih.gov/pubmed/?term=Pde4b","Pde4b")</f>
        <v>Pde4b</v>
      </c>
    </row>
    <row r="25" spans="1:6" x14ac:dyDescent="0.25">
      <c r="A25" t="s">
        <v>1880</v>
      </c>
      <c r="B25" t="s">
        <v>1077</v>
      </c>
      <c r="C25" s="3">
        <v>3.6549999999999998</v>
      </c>
      <c r="D25" s="22">
        <v>3.3140000000000001</v>
      </c>
      <c r="E25" s="43">
        <v>6.2270000000000003</v>
      </c>
      <c r="F25" s="1" t="str">
        <f>HYPERLINK("http://www.ncbi.nlm.nih.gov/pubmed/?term=Prkca","Prkca")</f>
        <v>Prkca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426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37">
        <v>2.2389999999999999</v>
      </c>
      <c r="D5" s="9">
        <v>7.0960000000000001</v>
      </c>
      <c r="E5" s="19">
        <v>5.49</v>
      </c>
      <c r="F5" s="1" t="str">
        <f>HYPERLINK("http://www.ncbi.nlm.nih.gov/pubmed/?term=Mapk13","Mapk13")</f>
        <v>Mapk13</v>
      </c>
    </row>
    <row r="6" spans="1:6" x14ac:dyDescent="0.25">
      <c r="A6" t="s">
        <v>161</v>
      </c>
      <c r="B6" t="s">
        <v>1914</v>
      </c>
      <c r="C6" s="26">
        <v>-0.87960000000000005</v>
      </c>
      <c r="D6" s="15">
        <v>3.9409999999999998</v>
      </c>
      <c r="E6" s="8">
        <v>1.4350000000000001</v>
      </c>
      <c r="F6" s="1" t="str">
        <f>HYPERLINK("http://www.ncbi.nlm.nih.gov/pubmed/?term=Matk","Matk")</f>
        <v>Matk</v>
      </c>
    </row>
    <row r="7" spans="1:6" x14ac:dyDescent="0.25">
      <c r="A7" t="s">
        <v>2016</v>
      </c>
      <c r="B7" t="s">
        <v>1464</v>
      </c>
      <c r="C7" s="26">
        <v>-0.25159999999999999</v>
      </c>
      <c r="D7" s="19">
        <v>4.952</v>
      </c>
      <c r="E7" s="8">
        <v>0.69540000000000002</v>
      </c>
      <c r="F7" s="1" t="str">
        <f>HYPERLINK("http://www.ncbi.nlm.nih.gov/pubmed/?term=Pik3cg","Pik3cg")</f>
        <v>Pik3cg</v>
      </c>
    </row>
    <row r="8" spans="1:6" x14ac:dyDescent="0.25">
      <c r="A8" t="s">
        <v>1335</v>
      </c>
      <c r="B8" t="s">
        <v>1328</v>
      </c>
      <c r="C8" s="8">
        <v>0.53520000000000001</v>
      </c>
      <c r="D8" s="3">
        <v>5.8090000000000002</v>
      </c>
      <c r="E8" s="41">
        <v>2.5489999999999999</v>
      </c>
      <c r="F8" s="1" t="str">
        <f>HYPERLINK("http://www.ncbi.nlm.nih.gov/pubmed/?term=Pik3r5","Pik3r5")</f>
        <v>Pik3r5</v>
      </c>
    </row>
    <row r="9" spans="1:6" x14ac:dyDescent="0.25">
      <c r="A9" t="s">
        <v>1169</v>
      </c>
      <c r="B9" t="s">
        <v>62</v>
      </c>
      <c r="C9" s="26">
        <v>-2.363</v>
      </c>
      <c r="D9" s="3">
        <v>5.6109999999999998</v>
      </c>
      <c r="E9" s="19">
        <v>5.3639999999999999</v>
      </c>
      <c r="F9" s="1" t="str">
        <f>HYPERLINK("http://www.ncbi.nlm.nih.gov/pubmed/?term=Calm4","Calm4")</f>
        <v>Calm4</v>
      </c>
    </row>
    <row r="10" spans="1:6" x14ac:dyDescent="0.25">
      <c r="A10" t="s">
        <v>276</v>
      </c>
      <c r="B10" t="s">
        <v>1181</v>
      </c>
      <c r="C10" s="41">
        <v>2.7959999999999998</v>
      </c>
      <c r="D10" s="19">
        <v>4.8380000000000001</v>
      </c>
      <c r="E10" s="41">
        <v>3.4089999999999998</v>
      </c>
      <c r="F10" s="1" t="str">
        <f>HYPERLINK("http://www.ncbi.nlm.nih.gov/pubmed/?term=Plcg2","Plcg2")</f>
        <v>Plcg2</v>
      </c>
    </row>
    <row r="11" spans="1:6" x14ac:dyDescent="0.25">
      <c r="A11" t="s">
        <v>1382</v>
      </c>
      <c r="B11" t="s">
        <v>440</v>
      </c>
      <c r="C11" s="26">
        <v>-1.218</v>
      </c>
      <c r="D11" s="15">
        <v>3.7610000000000001</v>
      </c>
      <c r="E11" s="41">
        <v>3.367</v>
      </c>
      <c r="F11" s="1" t="str">
        <f>HYPERLINK("http://www.ncbi.nlm.nih.gov/pubmed/?term=Camk2b","Camk2b")</f>
        <v>Camk2b</v>
      </c>
    </row>
    <row r="12" spans="1:6" x14ac:dyDescent="0.25">
      <c r="A12" t="s">
        <v>538</v>
      </c>
      <c r="B12" t="s">
        <v>1263</v>
      </c>
      <c r="C12" s="19">
        <v>5.3659999999999997</v>
      </c>
      <c r="D12" s="19">
        <v>5.4429999999999996</v>
      </c>
      <c r="E12" s="9">
        <v>7.1589999999999998</v>
      </c>
      <c r="F12" s="1" t="str">
        <f>HYPERLINK("http://www.ncbi.nlm.nih.gov/pubmed/?term=Bax","Bax")</f>
        <v>Bax</v>
      </c>
    </row>
    <row r="13" spans="1:6" x14ac:dyDescent="0.25">
      <c r="A13" t="s">
        <v>468</v>
      </c>
      <c r="B13" t="s">
        <v>596</v>
      </c>
      <c r="C13" s="37">
        <v>2.3919999999999999</v>
      </c>
      <c r="D13" s="41">
        <v>2.726</v>
      </c>
      <c r="E13" s="19">
        <v>4.7569999999999997</v>
      </c>
      <c r="F13" s="1" t="str">
        <f>HYPERLINK("http://www.ncbi.nlm.nih.gov/pubmed/?term=Map3k1","Map3k1")</f>
        <v>Map3k1</v>
      </c>
    </row>
    <row r="14" spans="1:6" x14ac:dyDescent="0.25">
      <c r="A14" t="s">
        <v>2023</v>
      </c>
      <c r="B14" t="s">
        <v>897</v>
      </c>
      <c r="C14" s="15">
        <v>4.37</v>
      </c>
      <c r="D14" s="19">
        <v>5.0970000000000004</v>
      </c>
      <c r="E14" s="19">
        <v>5.4119999999999999</v>
      </c>
      <c r="F14" s="1" t="str">
        <f>HYPERLINK("http://www.ncbi.nlm.nih.gov/pubmed/?term=Hras1","Hras1")</f>
        <v>Hras1</v>
      </c>
    </row>
    <row r="15" spans="1:6" x14ac:dyDescent="0.25">
      <c r="A15" t="s">
        <v>1352</v>
      </c>
      <c r="B15" t="s">
        <v>2160</v>
      </c>
      <c r="C15" s="19">
        <v>4.5460000000000003</v>
      </c>
      <c r="D15" s="19">
        <v>4.9820000000000002</v>
      </c>
      <c r="E15" s="3">
        <v>6.2560000000000002</v>
      </c>
      <c r="F15" s="1" t="str">
        <f>HYPERLINK("http://www.ncbi.nlm.nih.gov/pubmed/?term=Ikbkb","Ikbkb")</f>
        <v>Ikbkb</v>
      </c>
    </row>
    <row r="16" spans="1:6" x14ac:dyDescent="0.25">
      <c r="A16" t="s">
        <v>333</v>
      </c>
      <c r="B16" t="s">
        <v>1460</v>
      </c>
      <c r="C16" s="26">
        <v>0.44829999999999998</v>
      </c>
      <c r="D16" s="37">
        <v>2.1360000000000001</v>
      </c>
      <c r="E16" s="15">
        <v>3.8809999999999998</v>
      </c>
      <c r="F16" s="1" t="str">
        <f>HYPERLINK("http://www.ncbi.nlm.nih.gov/pubmed/?term=Pik3cb","Pik3cb")</f>
        <v>Pik3cb</v>
      </c>
    </row>
    <row r="17" spans="1:6" x14ac:dyDescent="0.25">
      <c r="A17" t="s">
        <v>194</v>
      </c>
      <c r="B17" t="s">
        <v>1900</v>
      </c>
      <c r="C17" s="37">
        <v>2.0819999999999999</v>
      </c>
      <c r="D17" s="41">
        <v>2.8410000000000002</v>
      </c>
      <c r="E17" s="41">
        <v>3.4369999999999998</v>
      </c>
      <c r="F17" s="1" t="str">
        <f>HYPERLINK("http://www.ncbi.nlm.nih.gov/pubmed/?term=Ripk2","Ripk2")</f>
        <v>Ripk2</v>
      </c>
    </row>
    <row r="18" spans="1:6" x14ac:dyDescent="0.25">
      <c r="A18" t="s">
        <v>697</v>
      </c>
      <c r="B18" t="s">
        <v>1872</v>
      </c>
      <c r="C18" s="37">
        <v>1.913</v>
      </c>
      <c r="D18" s="41">
        <v>3.3650000000000002</v>
      </c>
      <c r="E18" s="19">
        <v>5.35</v>
      </c>
      <c r="F18" s="1" t="str">
        <f>HYPERLINK("http://www.ncbi.nlm.nih.gov/pubmed/?term=Irak2","Irak2")</f>
        <v>Irak2</v>
      </c>
    </row>
    <row r="19" spans="1:6" x14ac:dyDescent="0.25">
      <c r="A19" t="s">
        <v>2124</v>
      </c>
      <c r="B19" t="s">
        <v>2188</v>
      </c>
      <c r="C19" s="26">
        <v>-1.919</v>
      </c>
      <c r="D19" s="3">
        <v>5.5629999999999997</v>
      </c>
      <c r="E19" s="3">
        <v>5.6420000000000003</v>
      </c>
      <c r="F19" s="1" t="str">
        <f>HYPERLINK("http://www.ncbi.nlm.nih.gov/pubmed/?term=Calml3","Calml3")</f>
        <v>Calml3</v>
      </c>
    </row>
    <row r="20" spans="1:6" x14ac:dyDescent="0.25">
      <c r="A20" t="s">
        <v>370</v>
      </c>
      <c r="B20" t="s">
        <v>10</v>
      </c>
      <c r="C20" s="37">
        <v>2.4420000000000002</v>
      </c>
      <c r="D20" s="15">
        <v>4.2039999999999997</v>
      </c>
      <c r="E20" s="8">
        <v>1.3340000000000001</v>
      </c>
      <c r="F20" s="1" t="str">
        <f>HYPERLINK("http://www.ncbi.nlm.nih.gov/pubmed/?term=Ngfr","Ngfr")</f>
        <v>Ngfr</v>
      </c>
    </row>
    <row r="21" spans="1:6" x14ac:dyDescent="0.25">
      <c r="A21" t="s">
        <v>539</v>
      </c>
      <c r="B21" t="s">
        <v>282</v>
      </c>
      <c r="C21" s="8">
        <v>0.78210000000000002</v>
      </c>
      <c r="D21" s="15">
        <v>3.5329999999999999</v>
      </c>
      <c r="E21" s="26">
        <v>5.2080000000000001E-2</v>
      </c>
      <c r="F21" s="1" t="str">
        <f>HYPERLINK("http://www.ncbi.nlm.nih.gov/pubmed/?term=Irak3","Irak3")</f>
        <v>Irak3</v>
      </c>
    </row>
    <row r="22" spans="1:6" x14ac:dyDescent="0.25">
      <c r="A22" t="s">
        <v>1334</v>
      </c>
      <c r="B22" t="s">
        <v>5</v>
      </c>
      <c r="C22" s="41">
        <v>3.4769999999999999</v>
      </c>
      <c r="D22" s="15">
        <v>3.6840000000000002</v>
      </c>
      <c r="E22" s="41">
        <v>2.5219999999999998</v>
      </c>
      <c r="F22" s="1" t="str">
        <f>HYPERLINK("http://www.ncbi.nlm.nih.gov/pubmed/?term=Sos1","Sos1")</f>
        <v>Sos1</v>
      </c>
    </row>
    <row r="23" spans="1:6" x14ac:dyDescent="0.25">
      <c r="A23" t="s">
        <v>686</v>
      </c>
      <c r="B23" t="s">
        <v>593</v>
      </c>
      <c r="C23" s="39">
        <v>7.6289999999999996</v>
      </c>
      <c r="D23" s="39">
        <v>8.4730000000000008</v>
      </c>
      <c r="E23" s="9">
        <v>7.0110000000000001</v>
      </c>
      <c r="F23" s="1" t="str">
        <f>HYPERLINK("http://www.ncbi.nlm.nih.gov/pubmed/?term=Calm2","Calm2")</f>
        <v>Calm2</v>
      </c>
    </row>
    <row r="24" spans="1:6" x14ac:dyDescent="0.25">
      <c r="A24" t="s">
        <v>1884</v>
      </c>
      <c r="B24" t="s">
        <v>2000</v>
      </c>
      <c r="C24" s="43">
        <v>8.7729999999999997</v>
      </c>
      <c r="D24" s="43">
        <v>9.0190000000000001</v>
      </c>
      <c r="E24" s="9">
        <v>7.4089999999999998</v>
      </c>
      <c r="F24" s="1" t="str">
        <f>HYPERLINK("http://www.ncbi.nlm.nih.gov/pubmed/?term=Jun","Jun")</f>
        <v>Jun</v>
      </c>
    </row>
    <row r="25" spans="1:6" x14ac:dyDescent="0.25">
      <c r="A25" t="s">
        <v>651</v>
      </c>
      <c r="B25" t="s">
        <v>438</v>
      </c>
      <c r="C25" s="41">
        <v>3.008</v>
      </c>
      <c r="D25" s="15">
        <v>4.3090000000000002</v>
      </c>
      <c r="E25" s="37">
        <v>2.335</v>
      </c>
      <c r="F25" s="1" t="str">
        <f>HYPERLINK("http://www.ncbi.nlm.nih.gov/pubmed/?term=Camk2d","Camk2d")</f>
        <v>Camk2d</v>
      </c>
    </row>
    <row r="26" spans="1:6" x14ac:dyDescent="0.25">
      <c r="A26" t="s">
        <v>1892</v>
      </c>
      <c r="B26" t="s">
        <v>667</v>
      </c>
      <c r="C26" s="15">
        <v>3.657</v>
      </c>
      <c r="D26" s="19">
        <v>4.867</v>
      </c>
      <c r="E26" s="15">
        <v>3.5459999999999998</v>
      </c>
      <c r="F26" s="1" t="str">
        <f>HYPERLINK("http://www.ncbi.nlm.nih.gov/pubmed/?term=Sort1","Sort1")</f>
        <v>Sort1</v>
      </c>
    </row>
    <row r="27" spans="1:6" x14ac:dyDescent="0.25">
      <c r="A27" t="s">
        <v>1143</v>
      </c>
      <c r="B27" t="s">
        <v>595</v>
      </c>
      <c r="C27" s="9">
        <v>6.7370000000000001</v>
      </c>
      <c r="D27" s="3">
        <v>6.1340000000000003</v>
      </c>
      <c r="E27" s="3">
        <v>5.6020000000000003</v>
      </c>
      <c r="F27" s="1" t="str">
        <f>HYPERLINK("http://www.ncbi.nlm.nih.gov/pubmed/?term=Calm1","Calm1")</f>
        <v>Calm1</v>
      </c>
    </row>
    <row r="28" spans="1:6" x14ac:dyDescent="0.25">
      <c r="A28" t="s">
        <v>1733</v>
      </c>
      <c r="B28" t="s">
        <v>1829</v>
      </c>
      <c r="C28" s="15">
        <v>3.9809999999999999</v>
      </c>
      <c r="D28" s="41">
        <v>3.1789999999999998</v>
      </c>
      <c r="E28" s="41">
        <v>2.843</v>
      </c>
      <c r="F28" s="1" t="str">
        <f>HYPERLINK("http://www.ncbi.nlm.nih.gov/pubmed/?term=Crkl","Crkl")</f>
        <v>Crkl</v>
      </c>
    </row>
    <row r="29" spans="1:6" x14ac:dyDescent="0.25">
      <c r="A29" t="s">
        <v>1097</v>
      </c>
      <c r="B29" t="s">
        <v>1251</v>
      </c>
      <c r="C29" s="3">
        <v>5.7690000000000001</v>
      </c>
      <c r="D29" s="19">
        <v>5.1139999999999999</v>
      </c>
      <c r="E29" s="19">
        <v>4.6520000000000001</v>
      </c>
      <c r="F29" s="1" t="str">
        <f>HYPERLINK("http://www.ncbi.nlm.nih.gov/pubmed/?term=Mapkapk2","Mapkapk2")</f>
        <v>Mapkapk2</v>
      </c>
    </row>
    <row r="30" spans="1:6" x14ac:dyDescent="0.25">
      <c r="A30" t="s">
        <v>78</v>
      </c>
      <c r="B30" t="s">
        <v>1182</v>
      </c>
      <c r="C30" s="19">
        <v>4.6639999999999997</v>
      </c>
      <c r="D30" s="19">
        <v>4.6269999999999998</v>
      </c>
      <c r="E30" s="41">
        <v>2.9020000000000001</v>
      </c>
      <c r="F30" s="1" t="str">
        <f>HYPERLINK("http://www.ncbi.nlm.nih.gov/pubmed/?term=Plcg1","Plcg1")</f>
        <v>Plcg1</v>
      </c>
    </row>
    <row r="31" spans="1:6" x14ac:dyDescent="0.25">
      <c r="A31" t="s">
        <v>641</v>
      </c>
      <c r="B31" t="s">
        <v>346</v>
      </c>
      <c r="C31" s="3">
        <v>5.5090000000000003</v>
      </c>
      <c r="D31" s="19">
        <v>4.79</v>
      </c>
      <c r="E31" s="15">
        <v>4.3810000000000002</v>
      </c>
      <c r="F31" s="1" t="str">
        <f>HYPERLINK("http://www.ncbi.nlm.nih.gov/pubmed/?term=Crk","Crk")</f>
        <v>Crk</v>
      </c>
    </row>
    <row r="32" spans="1:6" x14ac:dyDescent="0.25">
      <c r="A32" t="s">
        <v>1868</v>
      </c>
      <c r="B32" t="s">
        <v>1586</v>
      </c>
      <c r="C32" s="15">
        <v>4.1070000000000002</v>
      </c>
      <c r="D32" s="41">
        <v>3.1269999999999998</v>
      </c>
      <c r="E32" s="41">
        <v>2.8090000000000002</v>
      </c>
      <c r="F32" s="1" t="str">
        <f>HYPERLINK("http://www.ncbi.nlm.nih.gov/pubmed/?term=Frs2","Frs2")</f>
        <v>Frs2</v>
      </c>
    </row>
    <row r="33" spans="1:6" x14ac:dyDescent="0.25">
      <c r="A33" t="s">
        <v>31</v>
      </c>
      <c r="B33" t="s">
        <v>400</v>
      </c>
      <c r="C33" s="15">
        <v>4.476</v>
      </c>
      <c r="D33" s="15">
        <v>3.5920000000000001</v>
      </c>
      <c r="E33" s="41">
        <v>3.4319999999999999</v>
      </c>
      <c r="F33" s="1" t="str">
        <f>HYPERLINK("http://www.ncbi.nlm.nih.gov/pubmed/?term=Mapk9","Mapk9")</f>
        <v>Mapk9</v>
      </c>
    </row>
    <row r="34" spans="1:6" x14ac:dyDescent="0.25">
      <c r="A34" t="s">
        <v>2079</v>
      </c>
      <c r="B34" t="s">
        <v>439</v>
      </c>
      <c r="C34" s="15">
        <v>4.1420000000000003</v>
      </c>
      <c r="D34" s="41">
        <v>3.1230000000000002</v>
      </c>
      <c r="E34" s="41">
        <v>2.609</v>
      </c>
      <c r="F34" s="1" t="str">
        <f>HYPERLINK("http://www.ncbi.nlm.nih.gov/pubmed/?term=Camk2g","Camk2g")</f>
        <v>Camk2g</v>
      </c>
    </row>
    <row r="35" spans="1:6" x14ac:dyDescent="0.25">
      <c r="A35" t="s">
        <v>834</v>
      </c>
      <c r="B35" t="s">
        <v>1552</v>
      </c>
      <c r="C35" s="19">
        <v>4.516</v>
      </c>
      <c r="D35" s="15">
        <v>3.7549999999999999</v>
      </c>
      <c r="E35" s="41">
        <v>3.4649999999999999</v>
      </c>
      <c r="F35" s="1" t="str">
        <f>HYPERLINK("http://www.ncbi.nlm.nih.gov/pubmed/?term=Mapk8","Mapk8")</f>
        <v>Mapk8</v>
      </c>
    </row>
    <row r="36" spans="1:6" x14ac:dyDescent="0.25">
      <c r="A36" t="s">
        <v>618</v>
      </c>
      <c r="B36" t="s">
        <v>2089</v>
      </c>
      <c r="C36" s="9">
        <v>7.4509999999999996</v>
      </c>
      <c r="D36" s="9">
        <v>6.6879999999999997</v>
      </c>
      <c r="E36" s="3">
        <v>5.7190000000000003</v>
      </c>
      <c r="F36" s="1" t="str">
        <f>HYPERLINK("http://www.ncbi.nlm.nih.gov/pubmed/?term=Maged1","Maged1")</f>
        <v>Maged1</v>
      </c>
    </row>
    <row r="37" spans="1:6" x14ac:dyDescent="0.25">
      <c r="A37" t="s">
        <v>767</v>
      </c>
      <c r="B37" t="s">
        <v>423</v>
      </c>
      <c r="C37" s="19">
        <v>4.8289999999999997</v>
      </c>
      <c r="D37" s="15">
        <v>4.407</v>
      </c>
      <c r="E37" s="41">
        <v>3.44</v>
      </c>
      <c r="F37" s="1" t="str">
        <f>HYPERLINK("http://www.ncbi.nlm.nih.gov/pubmed/?term=Abl1","Abl1")</f>
        <v>Abl1</v>
      </c>
    </row>
    <row r="38" spans="1:6" x14ac:dyDescent="0.25">
      <c r="A38" t="s">
        <v>723</v>
      </c>
      <c r="B38" t="s">
        <v>2064</v>
      </c>
      <c r="C38" s="19">
        <v>4.9119999999999999</v>
      </c>
      <c r="D38" s="15">
        <v>4.0970000000000004</v>
      </c>
      <c r="E38" s="37">
        <v>2.222</v>
      </c>
      <c r="F38" s="1" t="str">
        <f>HYPERLINK("http://www.ncbi.nlm.nih.gov/pubmed/?term=Gab1","Gab1")</f>
        <v>Gab1</v>
      </c>
    </row>
    <row r="39" spans="1:6" x14ac:dyDescent="0.25">
      <c r="A39" t="s">
        <v>1205</v>
      </c>
      <c r="B39" t="s">
        <v>1329</v>
      </c>
      <c r="C39" s="3">
        <v>5.6820000000000004</v>
      </c>
      <c r="D39" s="19">
        <v>5.0220000000000002</v>
      </c>
      <c r="E39" s="19">
        <v>4.7060000000000004</v>
      </c>
      <c r="F39" s="1" t="str">
        <f>HYPERLINK("http://www.ncbi.nlm.nih.gov/pubmed/?term=Pik3r2","Pik3r2")</f>
        <v>Pik3r2</v>
      </c>
    </row>
    <row r="40" spans="1:6" x14ac:dyDescent="0.25">
      <c r="A40" t="s">
        <v>1546</v>
      </c>
      <c r="B40" t="s">
        <v>518</v>
      </c>
      <c r="C40" s="3">
        <v>5.74</v>
      </c>
      <c r="D40" s="15">
        <v>4.1070000000000002</v>
      </c>
      <c r="E40" s="15">
        <v>3.919</v>
      </c>
      <c r="F40" s="1" t="str">
        <f>HYPERLINK("http://www.ncbi.nlm.nih.gov/pubmed/?term=Camk4","Camk4")</f>
        <v>Camk4</v>
      </c>
    </row>
    <row r="41" spans="1:6" x14ac:dyDescent="0.25">
      <c r="A41" t="s">
        <v>731</v>
      </c>
      <c r="B41" t="s">
        <v>1330</v>
      </c>
      <c r="C41" s="19">
        <v>4.9180000000000001</v>
      </c>
      <c r="D41" s="19">
        <v>4.8079999999999998</v>
      </c>
      <c r="E41" s="15">
        <v>3.7410000000000001</v>
      </c>
      <c r="F41" s="1" t="str">
        <f>HYPERLINK("http://www.ncbi.nlm.nih.gov/pubmed/?term=Pik3r1","Pik3r1")</f>
        <v>Pik3r1</v>
      </c>
    </row>
    <row r="42" spans="1:6" x14ac:dyDescent="0.25">
      <c r="A42" t="s">
        <v>1415</v>
      </c>
      <c r="B42" t="s">
        <v>1905</v>
      </c>
      <c r="C42" s="9">
        <v>6.6559999999999997</v>
      </c>
      <c r="D42" s="3">
        <v>5.7610000000000001</v>
      </c>
      <c r="E42" s="19">
        <v>5.1760000000000002</v>
      </c>
      <c r="F42" s="1" t="str">
        <f>HYPERLINK("http://www.ncbi.nlm.nih.gov/pubmed/?term=Ngfrap1","Ngfrap1")</f>
        <v>Ngfrap1</v>
      </c>
    </row>
    <row r="43" spans="1:6" x14ac:dyDescent="0.25">
      <c r="A43" t="s">
        <v>240</v>
      </c>
      <c r="B43" t="s">
        <v>102</v>
      </c>
      <c r="C43" s="3">
        <v>5.5039999999999996</v>
      </c>
      <c r="D43" s="41">
        <v>3.0409999999999999</v>
      </c>
      <c r="E43" s="41">
        <v>2.7749999999999999</v>
      </c>
      <c r="F43" s="1" t="str">
        <f>HYPERLINK("http://www.ncbi.nlm.nih.gov/pubmed/?term=Foxo3","Foxo3")</f>
        <v>Foxo3</v>
      </c>
    </row>
    <row r="44" spans="1:6" x14ac:dyDescent="0.25">
      <c r="A44" t="s">
        <v>1902</v>
      </c>
      <c r="B44" t="s">
        <v>292</v>
      </c>
      <c r="C44" s="19">
        <v>5.4859999999999998</v>
      </c>
      <c r="D44" s="19">
        <v>5.1769999999999996</v>
      </c>
      <c r="E44" s="15">
        <v>4.3440000000000003</v>
      </c>
      <c r="F44" s="1" t="str">
        <f>HYPERLINK("http://www.ncbi.nlm.nih.gov/pubmed/?term=Mapk14","Mapk14")</f>
        <v>Mapk14</v>
      </c>
    </row>
    <row r="45" spans="1:6" x14ac:dyDescent="0.25">
      <c r="A45" t="s">
        <v>2024</v>
      </c>
      <c r="B45" t="s">
        <v>15</v>
      </c>
      <c r="C45" s="15">
        <v>3.827</v>
      </c>
      <c r="D45" s="41">
        <v>2.8050000000000002</v>
      </c>
      <c r="E45" s="37">
        <v>2.2109999999999999</v>
      </c>
      <c r="F45" s="1" t="str">
        <f>HYPERLINK("http://www.ncbi.nlm.nih.gov/pubmed/?term=Bcl2","Bcl2")</f>
        <v>Bcl2</v>
      </c>
    </row>
    <row r="46" spans="1:6" x14ac:dyDescent="0.25">
      <c r="A46" t="s">
        <v>1852</v>
      </c>
      <c r="B46" t="s">
        <v>1070</v>
      </c>
      <c r="C46" s="39">
        <v>7.577</v>
      </c>
      <c r="D46" s="39">
        <v>7.5250000000000004</v>
      </c>
      <c r="E46" s="43">
        <v>9.6739999999999995</v>
      </c>
      <c r="F46" s="1" t="str">
        <f>HYPERLINK("http://www.ncbi.nlm.nih.gov/pubmed/?term=Nfkbia","Nfkbia")</f>
        <v>Nfkbia</v>
      </c>
    </row>
    <row r="47" spans="1:6" x14ac:dyDescent="0.25">
      <c r="A47" t="s">
        <v>2037</v>
      </c>
      <c r="B47" t="s">
        <v>1071</v>
      </c>
      <c r="C47" s="19">
        <v>5.2140000000000004</v>
      </c>
      <c r="D47" s="19">
        <v>5.157</v>
      </c>
      <c r="E47" s="3">
        <v>6.4509999999999996</v>
      </c>
      <c r="F47" s="1" t="str">
        <f>HYPERLINK("http://www.ncbi.nlm.nih.gov/pubmed/?term=Nfkbie","Nfkbie")</f>
        <v>Nfkbie</v>
      </c>
    </row>
    <row r="48" spans="1:6" x14ac:dyDescent="0.25">
      <c r="A48" t="s">
        <v>529</v>
      </c>
      <c r="B48" t="s">
        <v>1321</v>
      </c>
      <c r="C48" s="41">
        <v>3.3559999999999999</v>
      </c>
      <c r="D48" s="41">
        <v>3.198</v>
      </c>
      <c r="E48" s="19">
        <v>5.0339999999999998</v>
      </c>
      <c r="F48" s="1" t="str">
        <f>HYPERLINK("http://www.ncbi.nlm.nih.gov/pubmed/?term=Traf6","Traf6")</f>
        <v>Traf6</v>
      </c>
    </row>
    <row r="49" spans="1:6" x14ac:dyDescent="0.25">
      <c r="A49" t="s">
        <v>1675</v>
      </c>
      <c r="B49" t="s">
        <v>1069</v>
      </c>
      <c r="C49" s="19">
        <v>4.6070000000000002</v>
      </c>
      <c r="D49" s="15">
        <v>3.927</v>
      </c>
      <c r="E49" s="19">
        <v>5.1689999999999996</v>
      </c>
      <c r="F49" s="1" t="str">
        <f>HYPERLINK("http://www.ncbi.nlm.nih.gov/pubmed/?term=Nfkbib","Nfkbib")</f>
        <v>Nfkbib</v>
      </c>
    </row>
    <row r="50" spans="1:6" x14ac:dyDescent="0.25">
      <c r="A50" t="s">
        <v>1137</v>
      </c>
      <c r="B50" t="s">
        <v>1662</v>
      </c>
      <c r="C50" s="15">
        <v>4.3550000000000004</v>
      </c>
      <c r="D50" s="15">
        <v>4.165</v>
      </c>
      <c r="E50" s="3">
        <v>6.383</v>
      </c>
      <c r="F50" s="1" t="str">
        <f>HYPERLINK("http://www.ncbi.nlm.nih.gov/pubmed/?term=Rapgef1","Rapgef1")</f>
        <v>Rapgef1</v>
      </c>
    </row>
    <row r="51" spans="1:6" x14ac:dyDescent="0.25">
      <c r="A51" t="s">
        <v>159</v>
      </c>
      <c r="B51" t="s">
        <v>1644</v>
      </c>
      <c r="C51" s="9">
        <v>6.5579999999999998</v>
      </c>
      <c r="D51" s="19">
        <v>4.7640000000000002</v>
      </c>
      <c r="E51" s="19">
        <v>5.4039999999999999</v>
      </c>
      <c r="F51" s="1" t="str">
        <f>HYPERLINK("http://www.ncbi.nlm.nih.gov/pubmed/?term=Map2k1","Map2k1")</f>
        <v>Map2k1</v>
      </c>
    </row>
    <row r="52" spans="1:6" x14ac:dyDescent="0.25">
      <c r="A52" t="s">
        <v>2191</v>
      </c>
      <c r="B52" t="s">
        <v>867</v>
      </c>
      <c r="C52" s="15">
        <v>4.2430000000000003</v>
      </c>
      <c r="D52" s="37">
        <v>2.2789999999999999</v>
      </c>
      <c r="E52" s="37">
        <v>2.3780000000000001</v>
      </c>
      <c r="F52" s="1" t="str">
        <f>HYPERLINK("http://www.ncbi.nlm.nih.gov/pubmed/?term=Pdk1","Pdk1")</f>
        <v>Pdk1</v>
      </c>
    </row>
    <row r="53" spans="1:6" x14ac:dyDescent="0.25">
      <c r="A53" t="s">
        <v>1907</v>
      </c>
      <c r="B53" t="s">
        <v>594</v>
      </c>
      <c r="C53" s="9">
        <v>6.91</v>
      </c>
      <c r="D53" s="3">
        <v>6.0519999999999996</v>
      </c>
      <c r="E53" s="3">
        <v>6.492</v>
      </c>
      <c r="F53" s="1" t="str">
        <f>HYPERLINK("http://www.ncbi.nlm.nih.gov/pubmed/?term=Calm3","Calm3")</f>
        <v>Calm3</v>
      </c>
    </row>
    <row r="54" spans="1:6" x14ac:dyDescent="0.25">
      <c r="A54" t="s">
        <v>2142</v>
      </c>
      <c r="B54" t="s">
        <v>944</v>
      </c>
      <c r="C54" s="19">
        <v>5.0490000000000004</v>
      </c>
      <c r="D54" s="41">
        <v>3.4820000000000002</v>
      </c>
      <c r="E54" s="15">
        <v>3.6070000000000002</v>
      </c>
      <c r="F54" s="1" t="str">
        <f>HYPERLINK("http://www.ncbi.nlm.nih.gov/pubmed/?term=Rps6ka3","Rps6ka3")</f>
        <v>Rps6ka3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1001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1098</v>
      </c>
      <c r="B5" t="s">
        <v>929</v>
      </c>
      <c r="C5" s="26">
        <v>-4.3019999999999996</v>
      </c>
      <c r="D5" s="50">
        <v>3.4460000000000002</v>
      </c>
      <c r="E5" s="4">
        <v>2.1880000000000002</v>
      </c>
      <c r="F5" s="1" t="str">
        <f>HYPERLINK("http://www.ncbi.nlm.nih.gov/pubmed/?term=Il10","Il10")</f>
        <v>Il10</v>
      </c>
    </row>
    <row r="6" spans="1:6" x14ac:dyDescent="0.25">
      <c r="A6" t="s">
        <v>1208</v>
      </c>
      <c r="B6" t="s">
        <v>587</v>
      </c>
      <c r="C6" s="44">
        <v>3.6619999999999999</v>
      </c>
      <c r="D6" s="31">
        <v>5.7629999999999999</v>
      </c>
      <c r="E6" s="44">
        <v>4.4850000000000003</v>
      </c>
      <c r="F6" s="1" t="str">
        <f>HYPERLINK("http://www.ncbi.nlm.nih.gov/pubmed/?term=H2-T22","H2-T22")</f>
        <v>H2-T22</v>
      </c>
    </row>
    <row r="7" spans="1:6" x14ac:dyDescent="0.25">
      <c r="A7" t="s">
        <v>85</v>
      </c>
      <c r="B7" t="s">
        <v>1966</v>
      </c>
      <c r="C7" s="5">
        <v>4.7370000000000001</v>
      </c>
      <c r="D7" s="6">
        <v>8.1150000000000002</v>
      </c>
      <c r="E7" s="6">
        <v>7.9050000000000002</v>
      </c>
      <c r="F7" s="1" t="str">
        <f>HYPERLINK("http://www.ncbi.nlm.nih.gov/pubmed/?term=H2-Q6","H2-Q6")</f>
        <v>H2-Q6</v>
      </c>
    </row>
    <row r="8" spans="1:6" x14ac:dyDescent="0.25">
      <c r="A8" t="s">
        <v>1524</v>
      </c>
      <c r="B8" t="s">
        <v>1499</v>
      </c>
      <c r="C8" s="26">
        <v>-3.9929999999999999</v>
      </c>
      <c r="D8" s="26">
        <v>-2.68</v>
      </c>
      <c r="E8" s="50">
        <v>3.4220000000000002</v>
      </c>
      <c r="F8" s="1" t="str">
        <f>HYPERLINK("http://www.ncbi.nlm.nih.gov/pubmed/?term=Il4","Il4")</f>
        <v>Il4</v>
      </c>
    </row>
    <row r="9" spans="1:6" x14ac:dyDescent="0.25">
      <c r="A9" t="s">
        <v>926</v>
      </c>
      <c r="B9" t="s">
        <v>1104</v>
      </c>
      <c r="C9" s="44">
        <v>3.8570000000000002</v>
      </c>
      <c r="D9" s="5">
        <v>4.992</v>
      </c>
      <c r="E9" s="31">
        <v>5.6529999999999996</v>
      </c>
      <c r="F9" s="1" t="str">
        <f>HYPERLINK("http://www.ncbi.nlm.nih.gov/pubmed/?term=H2-M3","H2-M3")</f>
        <v>H2-M3</v>
      </c>
    </row>
    <row r="10" spans="1:6" x14ac:dyDescent="0.25">
      <c r="A10" t="s">
        <v>1861</v>
      </c>
      <c r="B10" t="s">
        <v>1105</v>
      </c>
      <c r="C10" s="44">
        <v>4.3949999999999996</v>
      </c>
      <c r="D10" s="35">
        <v>6.8019999999999996</v>
      </c>
      <c r="E10" s="35">
        <v>7.444</v>
      </c>
      <c r="F10" s="1" t="str">
        <f>HYPERLINK("http://www.ncbi.nlm.nih.gov/pubmed/?term=H2-M2","H2-M2")</f>
        <v>H2-M2</v>
      </c>
    </row>
    <row r="11" spans="1:6" x14ac:dyDescent="0.25">
      <c r="A11" t="s">
        <v>164</v>
      </c>
      <c r="B11" t="s">
        <v>2130</v>
      </c>
      <c r="C11" s="26">
        <v>-2.2599999999999998</v>
      </c>
      <c r="D11" s="26">
        <v>-1.3340000000000001</v>
      </c>
      <c r="E11" s="44">
        <v>3.8769999999999998</v>
      </c>
      <c r="F11" s="1" t="str">
        <f>HYPERLINK("http://www.ncbi.nlm.nih.gov/pubmed/?term=Cd86","Cd86")</f>
        <v>Cd86</v>
      </c>
    </row>
    <row r="12" spans="1:6" x14ac:dyDescent="0.25">
      <c r="A12" t="s">
        <v>656</v>
      </c>
      <c r="B12" t="s">
        <v>1049</v>
      </c>
      <c r="C12" s="26">
        <v>-1.929</v>
      </c>
      <c r="D12" s="30">
        <v>0.65049999999999997</v>
      </c>
      <c r="E12" s="44">
        <v>4.242</v>
      </c>
      <c r="F12" s="1" t="str">
        <f>HYPERLINK("http://www.ncbi.nlm.nih.gov/pubmed/?term=Tnf","Tnf")</f>
        <v>Tnf</v>
      </c>
    </row>
    <row r="13" spans="1:6" x14ac:dyDescent="0.25">
      <c r="A13" t="s">
        <v>986</v>
      </c>
      <c r="B13" t="s">
        <v>2073</v>
      </c>
      <c r="C13" s="4">
        <v>2.4039999999999999</v>
      </c>
      <c r="D13" s="44">
        <v>4.0590000000000002</v>
      </c>
      <c r="E13" s="31">
        <v>6.069</v>
      </c>
      <c r="F13" s="1" t="str">
        <f>HYPERLINK("http://www.ncbi.nlm.nih.gov/pubmed/?term=Fas","Fas")</f>
        <v>Fas</v>
      </c>
    </row>
    <row r="14" spans="1:6" x14ac:dyDescent="0.25">
      <c r="A14" t="s">
        <v>391</v>
      </c>
      <c r="B14" t="s">
        <v>558</v>
      </c>
      <c r="C14" s="26">
        <v>-2.9940000000000002</v>
      </c>
      <c r="D14" s="26">
        <v>-4.1790000000000001E-2</v>
      </c>
      <c r="E14" s="31">
        <v>6.1180000000000003</v>
      </c>
      <c r="F14" s="1" t="str">
        <f>HYPERLINK("http://www.ncbi.nlm.nih.gov/pubmed/?term=Il12a","Il12a")</f>
        <v>Il12a</v>
      </c>
    </row>
    <row r="15" spans="1:6" x14ac:dyDescent="0.25">
      <c r="A15" t="s">
        <v>1956</v>
      </c>
      <c r="B15" t="s">
        <v>1715</v>
      </c>
      <c r="C15" s="31">
        <v>5.9130000000000003</v>
      </c>
      <c r="D15" s="31">
        <v>5.9269999999999996</v>
      </c>
      <c r="E15" s="6">
        <v>8.0259999999999998</v>
      </c>
      <c r="F15" s="1" t="str">
        <f>HYPERLINK("http://www.ncbi.nlm.nih.gov/pubmed/?term=H2-DMb2","H2-DMb2")</f>
        <v>H2-DMb2</v>
      </c>
    </row>
    <row r="16" spans="1:6" x14ac:dyDescent="0.25">
      <c r="A16" t="s">
        <v>1491</v>
      </c>
      <c r="B16" t="s">
        <v>1428</v>
      </c>
      <c r="C16" s="26">
        <v>-0.41930000000000001</v>
      </c>
      <c r="D16" s="4">
        <v>2.2890000000000001</v>
      </c>
      <c r="E16" s="35">
        <v>6.6079999999999997</v>
      </c>
      <c r="F16" s="1" t="str">
        <f>HYPERLINK("http://www.ncbi.nlm.nih.gov/pubmed/?term=H2-Ob","H2-Ob")</f>
        <v>H2-Ob</v>
      </c>
    </row>
    <row r="17" spans="1:6" x14ac:dyDescent="0.25">
      <c r="A17" t="s">
        <v>1311</v>
      </c>
      <c r="B17" t="s">
        <v>1431</v>
      </c>
      <c r="C17" s="44">
        <v>4.4509999999999996</v>
      </c>
      <c r="D17" s="6">
        <v>8.4649999999999999</v>
      </c>
      <c r="E17" s="34">
        <v>8.5500000000000007</v>
      </c>
      <c r="F17" s="1" t="str">
        <f>HYPERLINK("http://www.ncbi.nlm.nih.gov/pubmed/?term=H2-Q7","H2-Q7")</f>
        <v>H2-Q7</v>
      </c>
    </row>
    <row r="18" spans="1:6" x14ac:dyDescent="0.25">
      <c r="A18" t="s">
        <v>1401</v>
      </c>
      <c r="B18" t="s">
        <v>591</v>
      </c>
      <c r="C18" s="49">
        <v>9.7219999999999995</v>
      </c>
      <c r="D18" s="49">
        <v>9.8309999999999995</v>
      </c>
      <c r="E18" s="43">
        <v>11.67</v>
      </c>
      <c r="F18" s="1" t="str">
        <f>HYPERLINK("http://www.ncbi.nlm.nih.gov/pubmed/?term=H2-Eb1","H2-Eb1")</f>
        <v>H2-Eb1</v>
      </c>
    </row>
    <row r="19" spans="1:6" x14ac:dyDescent="0.25">
      <c r="A19" t="s">
        <v>300</v>
      </c>
      <c r="B19" t="s">
        <v>809</v>
      </c>
      <c r="C19" s="34">
        <v>8.6720000000000006</v>
      </c>
      <c r="D19" s="49">
        <v>10.43</v>
      </c>
      <c r="E19" s="43">
        <v>10.72</v>
      </c>
      <c r="F19" s="1" t="str">
        <f>HYPERLINK("http://www.ncbi.nlm.nih.gov/pubmed/?term=H2-K1","H2-K1")</f>
        <v>H2-K1</v>
      </c>
    </row>
    <row r="20" spans="1:6" x14ac:dyDescent="0.25">
      <c r="A20" t="s">
        <v>216</v>
      </c>
      <c r="B20" t="s">
        <v>586</v>
      </c>
      <c r="C20" s="35">
        <v>6.7060000000000004</v>
      </c>
      <c r="D20" s="6">
        <v>7.649</v>
      </c>
      <c r="E20" s="6">
        <v>7.8150000000000004</v>
      </c>
      <c r="F20" s="1" t="str">
        <f>HYPERLINK("http://www.ncbi.nlm.nih.gov/pubmed/?term=H2-T23","H2-T23")</f>
        <v>H2-T23</v>
      </c>
    </row>
    <row r="21" spans="1:6" x14ac:dyDescent="0.25">
      <c r="A21" t="s">
        <v>2141</v>
      </c>
      <c r="B21" t="s">
        <v>157</v>
      </c>
      <c r="C21" s="4">
        <v>2.1930000000000001</v>
      </c>
      <c r="D21" s="44">
        <v>4.2409999999999997</v>
      </c>
      <c r="E21" s="5">
        <v>4.5410000000000004</v>
      </c>
      <c r="F21" s="1" t="str">
        <f>HYPERLINK("http://www.ncbi.nlm.nih.gov/pubmed/?term=H2-Q10","H2-Q10")</f>
        <v>H2-Q10</v>
      </c>
    </row>
    <row r="22" spans="1:6" x14ac:dyDescent="0.25">
      <c r="A22" t="s">
        <v>247</v>
      </c>
      <c r="B22" t="s">
        <v>265</v>
      </c>
      <c r="C22" s="6">
        <v>8.1630000000000003</v>
      </c>
      <c r="D22" s="49">
        <v>10.1</v>
      </c>
      <c r="E22" s="49">
        <v>10.33</v>
      </c>
      <c r="F22" s="1" t="str">
        <f>HYPERLINK("http://www.ncbi.nlm.nih.gov/pubmed/?term=H2-D1","H2-D1")</f>
        <v>H2-D1</v>
      </c>
    </row>
    <row r="23" spans="1:6" x14ac:dyDescent="0.25">
      <c r="A23" t="s">
        <v>1647</v>
      </c>
      <c r="B23" t="s">
        <v>2128</v>
      </c>
      <c r="C23" s="26">
        <v>-0.96909999999999996</v>
      </c>
      <c r="D23" s="50">
        <v>2.597</v>
      </c>
      <c r="E23" s="35">
        <v>6.5759999999999996</v>
      </c>
      <c r="F23" s="1" t="str">
        <f>HYPERLINK("http://www.ncbi.nlm.nih.gov/pubmed/?term=Cd80","Cd80")</f>
        <v>Cd80</v>
      </c>
    </row>
    <row r="24" spans="1:6" x14ac:dyDescent="0.25">
      <c r="A24" t="s">
        <v>1504</v>
      </c>
      <c r="B24" t="s">
        <v>1434</v>
      </c>
      <c r="C24" s="50">
        <v>3.0409999999999999</v>
      </c>
      <c r="D24" s="44">
        <v>3.6920000000000002</v>
      </c>
      <c r="E24" s="44">
        <v>3.9689999999999999</v>
      </c>
      <c r="F24" s="1" t="str">
        <f>HYPERLINK("http://www.ncbi.nlm.nih.gov/pubmed/?term=H2-Q2","H2-Q2")</f>
        <v>H2-Q2</v>
      </c>
    </row>
    <row r="25" spans="1:6" x14ac:dyDescent="0.25">
      <c r="A25" t="s">
        <v>1753</v>
      </c>
      <c r="B25" t="s">
        <v>252</v>
      </c>
      <c r="C25" s="5">
        <v>4.8380000000000001</v>
      </c>
      <c r="D25" s="5">
        <v>4.8330000000000002</v>
      </c>
      <c r="E25" s="35">
        <v>7.3019999999999996</v>
      </c>
      <c r="F25" s="1" t="str">
        <f>HYPERLINK("http://www.ncbi.nlm.nih.gov/pubmed/?term=Cd40","Cd40")</f>
        <v>Cd40</v>
      </c>
    </row>
    <row r="26" spans="1:6" x14ac:dyDescent="0.25">
      <c r="A26" t="s">
        <v>1324</v>
      </c>
      <c r="B26" t="s">
        <v>1429</v>
      </c>
      <c r="C26" s="5">
        <v>5.2809999999999997</v>
      </c>
      <c r="D26" s="5">
        <v>5.2389999999999999</v>
      </c>
      <c r="E26" s="6">
        <v>8.2189999999999994</v>
      </c>
      <c r="F26" s="1" t="str">
        <f>HYPERLINK("http://www.ncbi.nlm.nih.gov/pubmed/?term=H2-Oa","H2-Oa")</f>
        <v>H2-Oa</v>
      </c>
    </row>
    <row r="27" spans="1:6" x14ac:dyDescent="0.25">
      <c r="A27" t="s">
        <v>528</v>
      </c>
      <c r="B27" t="s">
        <v>1739</v>
      </c>
      <c r="C27" s="49">
        <v>10.41</v>
      </c>
      <c r="D27" s="49">
        <v>10.1</v>
      </c>
      <c r="E27" s="43">
        <v>12.37</v>
      </c>
      <c r="F27" s="1" t="str">
        <f>HYPERLINK("http://www.ncbi.nlm.nih.gov/pubmed/?term=H2-Aa","H2-Aa")</f>
        <v>H2-Aa</v>
      </c>
    </row>
    <row r="28" spans="1:6" x14ac:dyDescent="0.25">
      <c r="A28" t="s">
        <v>1974</v>
      </c>
      <c r="B28" t="s">
        <v>1270</v>
      </c>
      <c r="C28" s="43">
        <v>10.67</v>
      </c>
      <c r="D28" s="49">
        <v>10.31</v>
      </c>
      <c r="E28" s="43">
        <v>12.36</v>
      </c>
      <c r="F28" s="1" t="str">
        <f>HYPERLINK("http://www.ncbi.nlm.nih.gov/pubmed/?term=H2-Ab1","H2-Ab1")</f>
        <v>H2-Ab1</v>
      </c>
    </row>
    <row r="29" spans="1:6" x14ac:dyDescent="0.25">
      <c r="A29" t="s">
        <v>1468</v>
      </c>
      <c r="B29" t="s">
        <v>1716</v>
      </c>
      <c r="C29" s="5">
        <v>5.3959999999999999</v>
      </c>
      <c r="D29" s="5">
        <v>5.0060000000000002</v>
      </c>
      <c r="E29" s="35">
        <v>6.9</v>
      </c>
      <c r="F29" s="1" t="str">
        <f>HYPERLINK("http://www.ncbi.nlm.nih.gov/pubmed/?term=H2-DMb1","H2-DMb1")</f>
        <v>H2-DMb1</v>
      </c>
    </row>
    <row r="30" spans="1:6" x14ac:dyDescent="0.25">
      <c r="A30" t="s">
        <v>865</v>
      </c>
      <c r="B30" t="s">
        <v>1044</v>
      </c>
      <c r="C30" s="35">
        <v>6.5350000000000001</v>
      </c>
      <c r="D30" s="5">
        <v>4.9409999999999998</v>
      </c>
      <c r="E30" s="31">
        <v>6.3239999999999998</v>
      </c>
      <c r="F30" s="1" t="str">
        <f>HYPERLINK("http://www.ncbi.nlm.nih.gov/pubmed/?term=H2-DMa","H2-DMa")</f>
        <v>H2-DMa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163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1208</v>
      </c>
      <c r="B5" t="s">
        <v>587</v>
      </c>
      <c r="C5" s="44">
        <v>3.6619999999999999</v>
      </c>
      <c r="D5" s="31">
        <v>5.7629999999999999</v>
      </c>
      <c r="E5" s="44">
        <v>4.4850000000000003</v>
      </c>
      <c r="F5" s="1" t="str">
        <f>HYPERLINK("http://www.ncbi.nlm.nih.gov/pubmed/?term=H2-T22","H2-T22")</f>
        <v>H2-T22</v>
      </c>
    </row>
    <row r="6" spans="1:6" x14ac:dyDescent="0.25">
      <c r="A6" t="s">
        <v>85</v>
      </c>
      <c r="B6" t="s">
        <v>1966</v>
      </c>
      <c r="C6" s="5">
        <v>4.7370000000000001</v>
      </c>
      <c r="D6" s="6">
        <v>8.1150000000000002</v>
      </c>
      <c r="E6" s="6">
        <v>7.9050000000000002</v>
      </c>
      <c r="F6" s="1" t="str">
        <f>HYPERLINK("http://www.ncbi.nlm.nih.gov/pubmed/?term=H2-Q6","H2-Q6")</f>
        <v>H2-Q6</v>
      </c>
    </row>
    <row r="7" spans="1:6" x14ac:dyDescent="0.25">
      <c r="A7" t="s">
        <v>926</v>
      </c>
      <c r="B7" t="s">
        <v>1104</v>
      </c>
      <c r="C7" s="44">
        <v>3.8570000000000002</v>
      </c>
      <c r="D7" s="5">
        <v>4.992</v>
      </c>
      <c r="E7" s="31">
        <v>5.6529999999999996</v>
      </c>
      <c r="F7" s="1" t="str">
        <f>HYPERLINK("http://www.ncbi.nlm.nih.gov/pubmed/?term=H2-M3","H2-M3")</f>
        <v>H2-M3</v>
      </c>
    </row>
    <row r="8" spans="1:6" x14ac:dyDescent="0.25">
      <c r="A8" t="s">
        <v>1861</v>
      </c>
      <c r="B8" t="s">
        <v>1105</v>
      </c>
      <c r="C8" s="44">
        <v>4.3949999999999996</v>
      </c>
      <c r="D8" s="35">
        <v>6.8019999999999996</v>
      </c>
      <c r="E8" s="35">
        <v>7.444</v>
      </c>
      <c r="F8" s="1" t="str">
        <f>HYPERLINK("http://www.ncbi.nlm.nih.gov/pubmed/?term=H2-M2","H2-M2")</f>
        <v>H2-M2</v>
      </c>
    </row>
    <row r="9" spans="1:6" x14ac:dyDescent="0.25">
      <c r="A9" t="s">
        <v>164</v>
      </c>
      <c r="B9" t="s">
        <v>2130</v>
      </c>
      <c r="C9" s="26">
        <v>-2.2599999999999998</v>
      </c>
      <c r="D9" s="26">
        <v>-1.3340000000000001</v>
      </c>
      <c r="E9" s="44">
        <v>3.8769999999999998</v>
      </c>
      <c r="F9" s="1" t="str">
        <f>HYPERLINK("http://www.ncbi.nlm.nih.gov/pubmed/?term=Cd86","Cd86")</f>
        <v>Cd86</v>
      </c>
    </row>
    <row r="10" spans="1:6" x14ac:dyDescent="0.25">
      <c r="A10" t="s">
        <v>656</v>
      </c>
      <c r="B10" t="s">
        <v>1049</v>
      </c>
      <c r="C10" s="26">
        <v>-1.929</v>
      </c>
      <c r="D10" s="30">
        <v>0.65049999999999997</v>
      </c>
      <c r="E10" s="44">
        <v>4.242</v>
      </c>
      <c r="F10" s="1" t="str">
        <f>HYPERLINK("http://www.ncbi.nlm.nih.gov/pubmed/?term=Tnf","Tnf")</f>
        <v>Tnf</v>
      </c>
    </row>
    <row r="11" spans="1:6" x14ac:dyDescent="0.25">
      <c r="A11" t="s">
        <v>986</v>
      </c>
      <c r="B11" t="s">
        <v>2073</v>
      </c>
      <c r="C11" s="4">
        <v>2.4039999999999999</v>
      </c>
      <c r="D11" s="44">
        <v>4.0590000000000002</v>
      </c>
      <c r="E11" s="31">
        <v>6.069</v>
      </c>
      <c r="F11" s="1" t="str">
        <f>HYPERLINK("http://www.ncbi.nlm.nih.gov/pubmed/?term=Fas","Fas")</f>
        <v>Fas</v>
      </c>
    </row>
    <row r="12" spans="1:6" x14ac:dyDescent="0.25">
      <c r="A12" t="s">
        <v>1956</v>
      </c>
      <c r="B12" t="s">
        <v>1715</v>
      </c>
      <c r="C12" s="31">
        <v>5.9130000000000003</v>
      </c>
      <c r="D12" s="31">
        <v>5.9269999999999996</v>
      </c>
      <c r="E12" s="6">
        <v>8.0259999999999998</v>
      </c>
      <c r="F12" s="1" t="str">
        <f>HYPERLINK("http://www.ncbi.nlm.nih.gov/pubmed/?term=H2-DMb2","H2-DMb2")</f>
        <v>H2-DMb2</v>
      </c>
    </row>
    <row r="13" spans="1:6" x14ac:dyDescent="0.25">
      <c r="A13" t="s">
        <v>1491</v>
      </c>
      <c r="B13" t="s">
        <v>1428</v>
      </c>
      <c r="C13" s="26">
        <v>-0.41930000000000001</v>
      </c>
      <c r="D13" s="4">
        <v>2.2890000000000001</v>
      </c>
      <c r="E13" s="35">
        <v>6.6079999999999997</v>
      </c>
      <c r="F13" s="1" t="str">
        <f>HYPERLINK("http://www.ncbi.nlm.nih.gov/pubmed/?term=H2-Ob","H2-Ob")</f>
        <v>H2-Ob</v>
      </c>
    </row>
    <row r="14" spans="1:6" x14ac:dyDescent="0.25">
      <c r="A14" t="s">
        <v>1311</v>
      </c>
      <c r="B14" t="s">
        <v>1431</v>
      </c>
      <c r="C14" s="44">
        <v>4.4509999999999996</v>
      </c>
      <c r="D14" s="6">
        <v>8.4649999999999999</v>
      </c>
      <c r="E14" s="34">
        <v>8.5500000000000007</v>
      </c>
      <c r="F14" s="1" t="str">
        <f>HYPERLINK("http://www.ncbi.nlm.nih.gov/pubmed/?term=H2-Q7","H2-Q7")</f>
        <v>H2-Q7</v>
      </c>
    </row>
    <row r="15" spans="1:6" x14ac:dyDescent="0.25">
      <c r="A15" t="s">
        <v>1401</v>
      </c>
      <c r="B15" t="s">
        <v>591</v>
      </c>
      <c r="C15" s="49">
        <v>9.7219999999999995</v>
      </c>
      <c r="D15" s="49">
        <v>9.8309999999999995</v>
      </c>
      <c r="E15" s="43">
        <v>11.67</v>
      </c>
      <c r="F15" s="1" t="str">
        <f>HYPERLINK("http://www.ncbi.nlm.nih.gov/pubmed/?term=H2-Eb1","H2-Eb1")</f>
        <v>H2-Eb1</v>
      </c>
    </row>
    <row r="16" spans="1:6" x14ac:dyDescent="0.25">
      <c r="A16" t="s">
        <v>300</v>
      </c>
      <c r="B16" t="s">
        <v>809</v>
      </c>
      <c r="C16" s="34">
        <v>8.6720000000000006</v>
      </c>
      <c r="D16" s="49">
        <v>10.43</v>
      </c>
      <c r="E16" s="43">
        <v>10.72</v>
      </c>
      <c r="F16" s="1" t="str">
        <f>HYPERLINK("http://www.ncbi.nlm.nih.gov/pubmed/?term=H2-K1","H2-K1")</f>
        <v>H2-K1</v>
      </c>
    </row>
    <row r="17" spans="1:6" x14ac:dyDescent="0.25">
      <c r="A17" t="s">
        <v>216</v>
      </c>
      <c r="B17" t="s">
        <v>586</v>
      </c>
      <c r="C17" s="35">
        <v>6.7060000000000004</v>
      </c>
      <c r="D17" s="6">
        <v>7.649</v>
      </c>
      <c r="E17" s="6">
        <v>7.8150000000000004</v>
      </c>
      <c r="F17" s="1" t="str">
        <f>HYPERLINK("http://www.ncbi.nlm.nih.gov/pubmed/?term=H2-T23","H2-T23")</f>
        <v>H2-T23</v>
      </c>
    </row>
    <row r="18" spans="1:6" x14ac:dyDescent="0.25">
      <c r="A18" t="s">
        <v>2141</v>
      </c>
      <c r="B18" t="s">
        <v>157</v>
      </c>
      <c r="C18" s="4">
        <v>2.1930000000000001</v>
      </c>
      <c r="D18" s="44">
        <v>4.2409999999999997</v>
      </c>
      <c r="E18" s="5">
        <v>4.5410000000000004</v>
      </c>
      <c r="F18" s="1" t="str">
        <f>HYPERLINK("http://www.ncbi.nlm.nih.gov/pubmed/?term=H2-Q10","H2-Q10")</f>
        <v>H2-Q10</v>
      </c>
    </row>
    <row r="19" spans="1:6" x14ac:dyDescent="0.25">
      <c r="A19" t="s">
        <v>247</v>
      </c>
      <c r="B19" t="s">
        <v>265</v>
      </c>
      <c r="C19" s="6">
        <v>8.1630000000000003</v>
      </c>
      <c r="D19" s="49">
        <v>10.1</v>
      </c>
      <c r="E19" s="49">
        <v>10.33</v>
      </c>
      <c r="F19" s="1" t="str">
        <f>HYPERLINK("http://www.ncbi.nlm.nih.gov/pubmed/?term=H2-D1","H2-D1")</f>
        <v>H2-D1</v>
      </c>
    </row>
    <row r="20" spans="1:6" x14ac:dyDescent="0.25">
      <c r="A20" t="s">
        <v>1647</v>
      </c>
      <c r="B20" t="s">
        <v>2128</v>
      </c>
      <c r="C20" s="26">
        <v>-0.96909999999999996</v>
      </c>
      <c r="D20" s="50">
        <v>2.597</v>
      </c>
      <c r="E20" s="35">
        <v>6.5759999999999996</v>
      </c>
      <c r="F20" s="1" t="str">
        <f>HYPERLINK("http://www.ncbi.nlm.nih.gov/pubmed/?term=Cd80","Cd80")</f>
        <v>Cd80</v>
      </c>
    </row>
    <row r="21" spans="1:6" x14ac:dyDescent="0.25">
      <c r="A21" t="s">
        <v>1504</v>
      </c>
      <c r="B21" t="s">
        <v>1434</v>
      </c>
      <c r="C21" s="50">
        <v>3.0409999999999999</v>
      </c>
      <c r="D21" s="44">
        <v>3.6920000000000002</v>
      </c>
      <c r="E21" s="44">
        <v>3.9689999999999999</v>
      </c>
      <c r="F21" s="1" t="str">
        <f>HYPERLINK("http://www.ncbi.nlm.nih.gov/pubmed/?term=H2-Q2","H2-Q2")</f>
        <v>H2-Q2</v>
      </c>
    </row>
    <row r="22" spans="1:6" x14ac:dyDescent="0.25">
      <c r="A22" t="s">
        <v>1324</v>
      </c>
      <c r="B22" t="s">
        <v>1429</v>
      </c>
      <c r="C22" s="5">
        <v>5.2809999999999997</v>
      </c>
      <c r="D22" s="5">
        <v>5.2389999999999999</v>
      </c>
      <c r="E22" s="6">
        <v>8.2189999999999994</v>
      </c>
      <c r="F22" s="1" t="str">
        <f>HYPERLINK("http://www.ncbi.nlm.nih.gov/pubmed/?term=H2-Oa","H2-Oa")</f>
        <v>H2-Oa</v>
      </c>
    </row>
    <row r="23" spans="1:6" x14ac:dyDescent="0.25">
      <c r="A23" t="s">
        <v>528</v>
      </c>
      <c r="B23" t="s">
        <v>1739</v>
      </c>
      <c r="C23" s="49">
        <v>10.41</v>
      </c>
      <c r="D23" s="49">
        <v>10.1</v>
      </c>
      <c r="E23" s="43">
        <v>12.37</v>
      </c>
      <c r="F23" s="1" t="str">
        <f>HYPERLINK("http://www.ncbi.nlm.nih.gov/pubmed/?term=H2-Aa","H2-Aa")</f>
        <v>H2-Aa</v>
      </c>
    </row>
    <row r="24" spans="1:6" x14ac:dyDescent="0.25">
      <c r="A24" t="s">
        <v>1974</v>
      </c>
      <c r="B24" t="s">
        <v>1270</v>
      </c>
      <c r="C24" s="43">
        <v>10.67</v>
      </c>
      <c r="D24" s="49">
        <v>10.31</v>
      </c>
      <c r="E24" s="43">
        <v>12.36</v>
      </c>
      <c r="F24" s="1" t="str">
        <f>HYPERLINK("http://www.ncbi.nlm.nih.gov/pubmed/?term=H2-Ab1","H2-Ab1")</f>
        <v>H2-Ab1</v>
      </c>
    </row>
    <row r="25" spans="1:6" x14ac:dyDescent="0.25">
      <c r="A25" t="s">
        <v>1468</v>
      </c>
      <c r="B25" t="s">
        <v>1716</v>
      </c>
      <c r="C25" s="5">
        <v>5.3959999999999999</v>
      </c>
      <c r="D25" s="5">
        <v>5.0060000000000002</v>
      </c>
      <c r="E25" s="35">
        <v>6.9</v>
      </c>
      <c r="F25" s="1" t="str">
        <f>HYPERLINK("http://www.ncbi.nlm.nih.gov/pubmed/?term=H2-DMb1","H2-DMb1")</f>
        <v>H2-DMb1</v>
      </c>
    </row>
    <row r="26" spans="1:6" x14ac:dyDescent="0.25">
      <c r="A26" t="s">
        <v>865</v>
      </c>
      <c r="B26" t="s">
        <v>1044</v>
      </c>
      <c r="C26" s="35">
        <v>6.5350000000000001</v>
      </c>
      <c r="D26" s="5">
        <v>4.9409999999999998</v>
      </c>
      <c r="E26" s="31">
        <v>6.3239999999999998</v>
      </c>
      <c r="F26" s="1" t="str">
        <f>HYPERLINK("http://www.ncbi.nlm.nih.gov/pubmed/?term=H2-DMa","H2-DMa")</f>
        <v>H2-DMa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1539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23">
        <v>2.2389999999999999</v>
      </c>
      <c r="D5" s="2">
        <v>7.0960000000000001</v>
      </c>
      <c r="E5" s="33">
        <v>5.49</v>
      </c>
      <c r="F5" s="1" t="str">
        <f>HYPERLINK("http://www.ncbi.nlm.nih.gov/pubmed/?term=Mapk13","Mapk13")</f>
        <v>Mapk13</v>
      </c>
    </row>
    <row r="6" spans="1:6" x14ac:dyDescent="0.25">
      <c r="A6" t="s">
        <v>87</v>
      </c>
      <c r="B6" t="s">
        <v>2034</v>
      </c>
      <c r="C6" s="26">
        <v>-0.22109999999999999</v>
      </c>
      <c r="D6" s="2">
        <v>6.5270000000000001</v>
      </c>
      <c r="E6" s="22">
        <v>3.6469999999999998</v>
      </c>
      <c r="F6" s="1" t="str">
        <f>HYPERLINK("http://www.ncbi.nlm.nih.gov/pubmed/?term=Gnb3","Gnb3")</f>
        <v>Gnb3</v>
      </c>
    </row>
    <row r="7" spans="1:6" x14ac:dyDescent="0.25">
      <c r="A7" t="s">
        <v>287</v>
      </c>
      <c r="B7" t="s">
        <v>367</v>
      </c>
      <c r="C7" s="26">
        <v>-3.1030000000000002</v>
      </c>
      <c r="D7" s="2">
        <v>6.657</v>
      </c>
      <c r="E7" s="22">
        <v>4.4180000000000001</v>
      </c>
      <c r="F7" s="1" t="str">
        <f>HYPERLINK("http://www.ncbi.nlm.nih.gov/pubmed/?term=Gng13","Gng13")</f>
        <v>Gng13</v>
      </c>
    </row>
    <row r="8" spans="1:6" x14ac:dyDescent="0.25">
      <c r="A8" t="s">
        <v>730</v>
      </c>
      <c r="B8" t="s">
        <v>777</v>
      </c>
      <c r="C8" s="23">
        <v>2.1339999999999999</v>
      </c>
      <c r="D8" s="33">
        <v>4.7649999999999997</v>
      </c>
      <c r="E8" s="18">
        <v>2.6150000000000002</v>
      </c>
      <c r="F8" s="1" t="str">
        <f>HYPERLINK("http://www.ncbi.nlm.nih.gov/pubmed/?term=Itpr2","Itpr2")</f>
        <v>Itpr2</v>
      </c>
    </row>
    <row r="9" spans="1:6" x14ac:dyDescent="0.25">
      <c r="A9" t="s">
        <v>1212</v>
      </c>
      <c r="B9" t="s">
        <v>1935</v>
      </c>
      <c r="C9" s="26">
        <v>-0.58730000000000004</v>
      </c>
      <c r="D9" s="45">
        <v>6.1760000000000002</v>
      </c>
      <c r="E9" s="18">
        <v>2.665</v>
      </c>
      <c r="F9" s="1" t="str">
        <f>HYPERLINK("http://www.ncbi.nlm.nih.gov/pubmed/?term=Plcb2","Plcb2")</f>
        <v>Plcb2</v>
      </c>
    </row>
    <row r="10" spans="1:6" x14ac:dyDescent="0.25">
      <c r="A10" t="s">
        <v>695</v>
      </c>
      <c r="B10" t="s">
        <v>362</v>
      </c>
      <c r="C10" s="26">
        <v>-1.089</v>
      </c>
      <c r="D10" s="22">
        <v>3.5209999999999999</v>
      </c>
      <c r="E10" s="2">
        <v>6.6840000000000002</v>
      </c>
      <c r="F10" s="1" t="str">
        <f>HYPERLINK("http://www.ncbi.nlm.nih.gov/pubmed/?term=Cacna1b","Cacna1b")</f>
        <v>Cacna1b</v>
      </c>
    </row>
    <row r="11" spans="1:6" x14ac:dyDescent="0.25">
      <c r="A11" t="s">
        <v>435</v>
      </c>
      <c r="B11" t="s">
        <v>870</v>
      </c>
      <c r="C11" s="26">
        <v>-4.5</v>
      </c>
      <c r="D11" s="26">
        <v>-0.57720000000000005</v>
      </c>
      <c r="E11" s="18">
        <v>3.3319999999999999</v>
      </c>
      <c r="F11" s="1" t="str">
        <f>HYPERLINK("http://www.ncbi.nlm.nih.gov/pubmed/?term=Kcnj3","Kcnj3")</f>
        <v>Kcnj3</v>
      </c>
    </row>
    <row r="12" spans="1:6" x14ac:dyDescent="0.25">
      <c r="A12" t="s">
        <v>1375</v>
      </c>
      <c r="B12" t="s">
        <v>416</v>
      </c>
      <c r="C12" s="26">
        <v>0.1993</v>
      </c>
      <c r="D12" s="13">
        <v>1.31</v>
      </c>
      <c r="E12" s="18">
        <v>3.3660000000000001</v>
      </c>
      <c r="F12" s="1" t="str">
        <f>HYPERLINK("http://www.ncbi.nlm.nih.gov/pubmed/?term=Gng2","Gng2")</f>
        <v>Gng2</v>
      </c>
    </row>
    <row r="13" spans="1:6" x14ac:dyDescent="0.25">
      <c r="A13" t="s">
        <v>836</v>
      </c>
      <c r="B13" t="s">
        <v>638</v>
      </c>
      <c r="C13" s="18">
        <v>3.403</v>
      </c>
      <c r="D13" s="22">
        <v>4.1059999999999999</v>
      </c>
      <c r="E13" s="45">
        <v>5.5940000000000003</v>
      </c>
      <c r="F13" s="1" t="str">
        <f>HYPERLINK("http://www.ncbi.nlm.nih.gov/pubmed/?term=Arrb2","Arrb2")</f>
        <v>Arrb2</v>
      </c>
    </row>
    <row r="14" spans="1:6" x14ac:dyDescent="0.25">
      <c r="A14" t="s">
        <v>1855</v>
      </c>
      <c r="B14" t="s">
        <v>1190</v>
      </c>
      <c r="C14" s="18">
        <v>3.331</v>
      </c>
      <c r="D14" s="22">
        <v>4.1379999999999999</v>
      </c>
      <c r="E14" s="18">
        <v>3.0529999999999999</v>
      </c>
      <c r="F14" s="1" t="str">
        <f>HYPERLINK("http://www.ncbi.nlm.nih.gov/pubmed/?term=Ppp2r3c","Ppp2r3c")</f>
        <v>Ppp2r3c</v>
      </c>
    </row>
    <row r="15" spans="1:6" x14ac:dyDescent="0.25">
      <c r="A15" t="s">
        <v>1045</v>
      </c>
      <c r="B15" t="s">
        <v>1412</v>
      </c>
      <c r="C15" s="43">
        <v>8.2629999999999999</v>
      </c>
      <c r="D15" s="43">
        <v>8.5969999999999995</v>
      </c>
      <c r="E15" s="2">
        <v>6.7990000000000004</v>
      </c>
      <c r="F15" s="1" t="str">
        <f>HYPERLINK("http://www.ncbi.nlm.nih.gov/pubmed/?term=Fos","Fos")</f>
        <v>Fos</v>
      </c>
    </row>
    <row r="16" spans="1:6" x14ac:dyDescent="0.25">
      <c r="A16" t="s">
        <v>686</v>
      </c>
      <c r="B16" t="s">
        <v>593</v>
      </c>
      <c r="C16" s="43">
        <v>7.6289999999999996</v>
      </c>
      <c r="D16" s="43">
        <v>8.4730000000000008</v>
      </c>
      <c r="E16" s="2">
        <v>7.0110000000000001</v>
      </c>
      <c r="F16" s="1" t="str">
        <f>HYPERLINK("http://www.ncbi.nlm.nih.gov/pubmed/?term=Calm2","Calm2")</f>
        <v>Calm2</v>
      </c>
    </row>
    <row r="17" spans="1:6" x14ac:dyDescent="0.25">
      <c r="A17" t="s">
        <v>651</v>
      </c>
      <c r="B17" t="s">
        <v>438</v>
      </c>
      <c r="C17" s="18">
        <v>3.008</v>
      </c>
      <c r="D17" s="22">
        <v>4.3090000000000002</v>
      </c>
      <c r="E17" s="23">
        <v>2.335</v>
      </c>
      <c r="F17" s="1" t="str">
        <f>HYPERLINK("http://www.ncbi.nlm.nih.gov/pubmed/?term=Camk2d","Camk2d")</f>
        <v>Camk2d</v>
      </c>
    </row>
    <row r="18" spans="1:6" x14ac:dyDescent="0.25">
      <c r="A18" t="s">
        <v>1300</v>
      </c>
      <c r="B18" t="s">
        <v>1604</v>
      </c>
      <c r="C18" s="2">
        <v>6.8559999999999999</v>
      </c>
      <c r="D18" s="2">
        <v>6.6230000000000002</v>
      </c>
      <c r="E18" s="33">
        <v>5.2789999999999999</v>
      </c>
      <c r="F18" s="1" t="str">
        <f>HYPERLINK("http://www.ncbi.nlm.nih.gov/pubmed/?term=Comt","Comt")</f>
        <v>Comt</v>
      </c>
    </row>
    <row r="19" spans="1:6" x14ac:dyDescent="0.25">
      <c r="A19" t="s">
        <v>1143</v>
      </c>
      <c r="B19" t="s">
        <v>595</v>
      </c>
      <c r="C19" s="2">
        <v>6.7370000000000001</v>
      </c>
      <c r="D19" s="45">
        <v>6.1340000000000003</v>
      </c>
      <c r="E19" s="45">
        <v>5.6020000000000003</v>
      </c>
      <c r="F19" s="1" t="str">
        <f>HYPERLINK("http://www.ncbi.nlm.nih.gov/pubmed/?term=Calm1","Calm1")</f>
        <v>Calm1</v>
      </c>
    </row>
    <row r="20" spans="1:6" x14ac:dyDescent="0.25">
      <c r="A20" t="s">
        <v>1506</v>
      </c>
      <c r="B20" t="s">
        <v>1331</v>
      </c>
      <c r="C20" s="33">
        <v>4.74</v>
      </c>
      <c r="D20" s="22">
        <v>3.9580000000000002</v>
      </c>
      <c r="E20" s="18">
        <v>2.786</v>
      </c>
      <c r="F20" s="1" t="str">
        <f>HYPERLINK("http://www.ncbi.nlm.nih.gov/pubmed/?term=Prkacb","Prkacb")</f>
        <v>Prkacb</v>
      </c>
    </row>
    <row r="21" spans="1:6" x14ac:dyDescent="0.25">
      <c r="A21" t="s">
        <v>49</v>
      </c>
      <c r="B21" t="s">
        <v>1564</v>
      </c>
      <c r="C21" s="33">
        <v>4.6529999999999996</v>
      </c>
      <c r="D21" s="22">
        <v>3.782</v>
      </c>
      <c r="E21" s="23">
        <v>2.4590000000000001</v>
      </c>
      <c r="F21" s="1" t="str">
        <f>HYPERLINK("http://www.ncbi.nlm.nih.gov/pubmed/?term=Gnaq","Gnaq")</f>
        <v>Gnaq</v>
      </c>
    </row>
    <row r="22" spans="1:6" x14ac:dyDescent="0.25">
      <c r="A22" t="s">
        <v>329</v>
      </c>
      <c r="B22" t="s">
        <v>54</v>
      </c>
      <c r="C22" s="33">
        <v>5.2060000000000004</v>
      </c>
      <c r="D22" s="33">
        <v>4.9320000000000004</v>
      </c>
      <c r="E22" s="22">
        <v>4.3140000000000001</v>
      </c>
      <c r="F22" s="1" t="str">
        <f>HYPERLINK("http://www.ncbi.nlm.nih.gov/pubmed/?term=Gng12","Gng12")</f>
        <v>Gng12</v>
      </c>
    </row>
    <row r="23" spans="1:6" x14ac:dyDescent="0.25">
      <c r="A23" t="s">
        <v>692</v>
      </c>
      <c r="B23" t="s">
        <v>88</v>
      </c>
      <c r="C23" s="18">
        <v>2.6360000000000001</v>
      </c>
      <c r="D23" s="23">
        <v>1.611</v>
      </c>
      <c r="E23" s="22">
        <v>4.3449999999999998</v>
      </c>
      <c r="F23" s="1" t="str">
        <f>HYPERLINK("http://www.ncbi.nlm.nih.gov/pubmed/?term=Gria3","Gria3")</f>
        <v>Gria3</v>
      </c>
    </row>
    <row r="24" spans="1:6" x14ac:dyDescent="0.25">
      <c r="A24" t="s">
        <v>1419</v>
      </c>
      <c r="B24" t="s">
        <v>1095</v>
      </c>
      <c r="C24" s="23">
        <v>1.913</v>
      </c>
      <c r="D24" s="23">
        <v>1.528</v>
      </c>
      <c r="E24" s="22">
        <v>4.2119999999999997</v>
      </c>
      <c r="F24" s="1" t="str">
        <f>HYPERLINK("http://www.ncbi.nlm.nih.gov/pubmed/?term=Maoa","Maoa")</f>
        <v>Maoa</v>
      </c>
    </row>
    <row r="25" spans="1:6" x14ac:dyDescent="0.25">
      <c r="A25" t="s">
        <v>1671</v>
      </c>
      <c r="B25" t="s">
        <v>2033</v>
      </c>
      <c r="C25" s="33">
        <v>4.8159999999999998</v>
      </c>
      <c r="D25" s="22">
        <v>4.3280000000000003</v>
      </c>
      <c r="E25" s="2">
        <v>6.96</v>
      </c>
      <c r="F25" s="1" t="str">
        <f>HYPERLINK("http://www.ncbi.nlm.nih.gov/pubmed/?term=Gnb4","Gnb4")</f>
        <v>Gnb4</v>
      </c>
    </row>
    <row r="26" spans="1:6" x14ac:dyDescent="0.25">
      <c r="A26" t="s">
        <v>973</v>
      </c>
      <c r="B26" t="s">
        <v>1936</v>
      </c>
      <c r="C26" s="33">
        <v>4.9489999999999998</v>
      </c>
      <c r="D26" s="22">
        <v>4.2130000000000001</v>
      </c>
      <c r="E26" s="45">
        <v>5.6050000000000004</v>
      </c>
      <c r="F26" s="1" t="str">
        <f>HYPERLINK("http://www.ncbi.nlm.nih.gov/pubmed/?term=Plcb4","Plcb4")</f>
        <v>Plcb4</v>
      </c>
    </row>
    <row r="27" spans="1:6" x14ac:dyDescent="0.25">
      <c r="A27" t="s">
        <v>1880</v>
      </c>
      <c r="B27" t="s">
        <v>1077</v>
      </c>
      <c r="C27" s="22">
        <v>3.6549999999999998</v>
      </c>
      <c r="D27" s="18">
        <v>3.3140000000000001</v>
      </c>
      <c r="E27" s="45">
        <v>6.2270000000000003</v>
      </c>
      <c r="F27" s="1" t="str">
        <f>HYPERLINK("http://www.ncbi.nlm.nih.gov/pubmed/?term=Prkca","Prkca")</f>
        <v>Prkca</v>
      </c>
    </row>
    <row r="28" spans="1:6" x14ac:dyDescent="0.25">
      <c r="A28" t="s">
        <v>1907</v>
      </c>
      <c r="B28" t="s">
        <v>594</v>
      </c>
      <c r="C28" s="2">
        <v>6.91</v>
      </c>
      <c r="D28" s="45">
        <v>6.0519999999999996</v>
      </c>
      <c r="E28" s="45">
        <v>6.492</v>
      </c>
      <c r="F28" s="1" t="str">
        <f>HYPERLINK("http://www.ncbi.nlm.nih.gov/pubmed/?term=Calm3","Calm3")</f>
        <v>Calm3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1711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2132</v>
      </c>
      <c r="B5" t="s">
        <v>902</v>
      </c>
      <c r="C5" s="26">
        <v>-2.9430000000000001</v>
      </c>
      <c r="D5" s="5">
        <v>4.6980000000000004</v>
      </c>
      <c r="E5" s="44">
        <v>4.4329999999999998</v>
      </c>
      <c r="F5" s="1" t="str">
        <f>HYPERLINK("http://www.ncbi.nlm.nih.gov/pubmed/?term=Fcer2a","Fcer2a")</f>
        <v>Fcer2a</v>
      </c>
    </row>
    <row r="6" spans="1:6" x14ac:dyDescent="0.25">
      <c r="A6" t="s">
        <v>1833</v>
      </c>
      <c r="B6" t="s">
        <v>704</v>
      </c>
      <c r="C6" s="50">
        <v>3.4369999999999998</v>
      </c>
      <c r="D6" s="6">
        <v>8.2710000000000008</v>
      </c>
      <c r="E6" s="31">
        <v>6.0540000000000003</v>
      </c>
      <c r="F6" s="1" t="str">
        <f>HYPERLINK("http://www.ncbi.nlm.nih.gov/pubmed/?term=Cd24a","Cd24a")</f>
        <v>Cd24a</v>
      </c>
    </row>
    <row r="7" spans="1:6" x14ac:dyDescent="0.25">
      <c r="A7" t="s">
        <v>1524</v>
      </c>
      <c r="B7" t="s">
        <v>1499</v>
      </c>
      <c r="C7" s="26">
        <v>-3.9929999999999999</v>
      </c>
      <c r="D7" s="26">
        <v>-2.68</v>
      </c>
      <c r="E7" s="50">
        <v>3.4220000000000002</v>
      </c>
      <c r="F7" s="1" t="str">
        <f>HYPERLINK("http://www.ncbi.nlm.nih.gov/pubmed/?term=Il4","Il4")</f>
        <v>Il4</v>
      </c>
    </row>
    <row r="8" spans="1:6" x14ac:dyDescent="0.25">
      <c r="A8" t="s">
        <v>658</v>
      </c>
      <c r="B8" t="s">
        <v>310</v>
      </c>
      <c r="C8" s="5">
        <v>4.585</v>
      </c>
      <c r="D8" s="5">
        <v>5.2720000000000002</v>
      </c>
      <c r="E8" s="31">
        <v>5.6970000000000001</v>
      </c>
      <c r="F8" s="1" t="str">
        <f>HYPERLINK("http://www.ncbi.nlm.nih.gov/pubmed/?term=Itga3","Itga3")</f>
        <v>Itga3</v>
      </c>
    </row>
    <row r="9" spans="1:6" x14ac:dyDescent="0.25">
      <c r="A9" t="s">
        <v>877</v>
      </c>
      <c r="B9" t="s">
        <v>1361</v>
      </c>
      <c r="C9" s="26">
        <v>0.43819999999999998</v>
      </c>
      <c r="D9" s="44">
        <v>4.4859999999999998</v>
      </c>
      <c r="E9" s="5">
        <v>5.1130000000000004</v>
      </c>
      <c r="F9" s="1" t="str">
        <f>HYPERLINK("http://www.ncbi.nlm.nih.gov/pubmed/?term=Kit","Kit")</f>
        <v>Kit</v>
      </c>
    </row>
    <row r="10" spans="1:6" x14ac:dyDescent="0.25">
      <c r="A10" t="s">
        <v>965</v>
      </c>
      <c r="B10" t="s">
        <v>2187</v>
      </c>
      <c r="C10" s="26">
        <v>-2.1800000000000002</v>
      </c>
      <c r="D10" s="30">
        <v>0.97130000000000005</v>
      </c>
      <c r="E10" s="5">
        <v>4.6479999999999997</v>
      </c>
      <c r="F10" s="1" t="str">
        <f>HYPERLINK("http://www.ncbi.nlm.nih.gov/pubmed/?term=Il9r","Il9r")</f>
        <v>Il9r</v>
      </c>
    </row>
    <row r="11" spans="1:6" x14ac:dyDescent="0.25">
      <c r="A11" t="s">
        <v>656</v>
      </c>
      <c r="B11" t="s">
        <v>1049</v>
      </c>
      <c r="C11" s="26">
        <v>-1.929</v>
      </c>
      <c r="D11" s="30">
        <v>0.65049999999999997</v>
      </c>
      <c r="E11" s="44">
        <v>4.242</v>
      </c>
      <c r="F11" s="1" t="str">
        <f>HYPERLINK("http://www.ncbi.nlm.nih.gov/pubmed/?term=Tnf","Tnf")</f>
        <v>Tnf</v>
      </c>
    </row>
    <row r="12" spans="1:6" x14ac:dyDescent="0.25">
      <c r="A12" t="s">
        <v>1520</v>
      </c>
      <c r="B12" t="s">
        <v>1718</v>
      </c>
      <c r="C12" s="4">
        <v>1.5840000000000001</v>
      </c>
      <c r="D12" s="44">
        <v>4.38</v>
      </c>
      <c r="E12" s="5">
        <v>5.3470000000000004</v>
      </c>
      <c r="F12" s="1" t="str">
        <f>HYPERLINK("http://www.ncbi.nlm.nih.gov/pubmed/?term=Il1r2","Il1r2")</f>
        <v>Il1r2</v>
      </c>
    </row>
    <row r="13" spans="1:6" x14ac:dyDescent="0.25">
      <c r="A13" t="s">
        <v>1168</v>
      </c>
      <c r="B13" t="s">
        <v>322</v>
      </c>
      <c r="C13" s="26">
        <v>-3.5329999999999999</v>
      </c>
      <c r="D13" s="50">
        <v>2.552</v>
      </c>
      <c r="E13" s="44">
        <v>3.6709999999999998</v>
      </c>
      <c r="F13" s="1" t="str">
        <f>HYPERLINK("http://www.ncbi.nlm.nih.gov/pubmed/?term=Cr2","Cr2")</f>
        <v>Cr2</v>
      </c>
    </row>
    <row r="14" spans="1:6" x14ac:dyDescent="0.25">
      <c r="A14" t="s">
        <v>375</v>
      </c>
      <c r="B14" t="s">
        <v>741</v>
      </c>
      <c r="C14" s="4">
        <v>1.6140000000000001</v>
      </c>
      <c r="D14" s="44">
        <v>3.7189999999999999</v>
      </c>
      <c r="E14" s="44">
        <v>4.2270000000000003</v>
      </c>
      <c r="F14" s="1" t="str">
        <f>HYPERLINK("http://www.ncbi.nlm.nih.gov/pubmed/?term=Il2ra","Il2ra")</f>
        <v>Il2ra</v>
      </c>
    </row>
    <row r="15" spans="1:6" x14ac:dyDescent="0.25">
      <c r="A15" t="s">
        <v>520</v>
      </c>
      <c r="B15" t="s">
        <v>1500</v>
      </c>
      <c r="C15" s="31">
        <v>5.9189999999999996</v>
      </c>
      <c r="D15" s="31">
        <v>6.0350000000000001</v>
      </c>
      <c r="E15" s="35">
        <v>7.2370000000000001</v>
      </c>
      <c r="F15" s="1" t="str">
        <f>HYPERLINK("http://www.ncbi.nlm.nih.gov/pubmed/?term=Il4ra","Il4ra")</f>
        <v>Il4ra</v>
      </c>
    </row>
    <row r="16" spans="1:6" x14ac:dyDescent="0.25">
      <c r="A16" t="s">
        <v>1401</v>
      </c>
      <c r="B16" t="s">
        <v>591</v>
      </c>
      <c r="C16" s="49">
        <v>9.7219999999999995</v>
      </c>
      <c r="D16" s="49">
        <v>9.8309999999999995</v>
      </c>
      <c r="E16" s="43">
        <v>11.67</v>
      </c>
      <c r="F16" s="1" t="str">
        <f>HYPERLINK("http://www.ncbi.nlm.nih.gov/pubmed/?term=H2-Eb1","H2-Eb1")</f>
        <v>H2-Eb1</v>
      </c>
    </row>
    <row r="17" spans="1:6" x14ac:dyDescent="0.25">
      <c r="A17" t="s">
        <v>16</v>
      </c>
      <c r="B17" t="s">
        <v>140</v>
      </c>
      <c r="C17" s="50">
        <v>3.028</v>
      </c>
      <c r="D17" s="5">
        <v>5.032</v>
      </c>
      <c r="E17" s="5">
        <v>5.194</v>
      </c>
      <c r="F17" s="1" t="str">
        <f>HYPERLINK("http://www.ncbi.nlm.nih.gov/pubmed/?term=Il11ra1","Il11ra1")</f>
        <v>Il11ra1</v>
      </c>
    </row>
    <row r="18" spans="1:6" x14ac:dyDescent="0.25">
      <c r="A18" t="s">
        <v>2051</v>
      </c>
      <c r="B18" t="s">
        <v>403</v>
      </c>
      <c r="C18" s="44">
        <v>3.5569999999999999</v>
      </c>
      <c r="D18" s="30">
        <v>1.1379999999999999</v>
      </c>
      <c r="E18" s="26">
        <v>-1.472</v>
      </c>
      <c r="F18" s="1" t="str">
        <f>HYPERLINK("http://www.ncbi.nlm.nih.gov/pubmed/?term=Cd34","Cd34")</f>
        <v>Cd34</v>
      </c>
    </row>
    <row r="19" spans="1:6" x14ac:dyDescent="0.25">
      <c r="A19" t="s">
        <v>1727</v>
      </c>
      <c r="B19" t="s">
        <v>1509</v>
      </c>
      <c r="C19" s="44">
        <v>4.1070000000000002</v>
      </c>
      <c r="D19" s="26">
        <v>0.2407</v>
      </c>
      <c r="E19" s="26">
        <v>0.12920000000000001</v>
      </c>
      <c r="F19" s="1" t="str">
        <f>HYPERLINK("http://www.ncbi.nlm.nih.gov/pubmed/?term=Dntt","Dntt")</f>
        <v>Dntt</v>
      </c>
    </row>
    <row r="20" spans="1:6" x14ac:dyDescent="0.25">
      <c r="A20" t="s">
        <v>1312</v>
      </c>
      <c r="B20" t="s">
        <v>1498</v>
      </c>
      <c r="C20" s="35">
        <v>6.6109999999999998</v>
      </c>
      <c r="D20" s="31">
        <v>5.8959999999999999</v>
      </c>
      <c r="E20" s="44">
        <v>4.109</v>
      </c>
      <c r="F20" s="1" t="str">
        <f>HYPERLINK("http://www.ncbi.nlm.nih.gov/pubmed/?term=Il7","Il7")</f>
        <v>Il7</v>
      </c>
    </row>
    <row r="21" spans="1:6" x14ac:dyDescent="0.25">
      <c r="A21" t="s">
        <v>1767</v>
      </c>
      <c r="B21" t="s">
        <v>100</v>
      </c>
      <c r="C21" s="44">
        <v>4.1340000000000003</v>
      </c>
      <c r="D21" s="26">
        <v>-0.39410000000000001</v>
      </c>
      <c r="E21" s="26">
        <v>-0.43059999999999998</v>
      </c>
      <c r="F21" s="1" t="str">
        <f>HYPERLINK("http://www.ncbi.nlm.nih.gov/pubmed/?term=Cd8b1","Cd8b1")</f>
        <v>Cd8b1</v>
      </c>
    </row>
    <row r="22" spans="1:6" x14ac:dyDescent="0.25">
      <c r="A22" t="s">
        <v>1437</v>
      </c>
      <c r="B22" t="s">
        <v>1636</v>
      </c>
      <c r="C22" s="44">
        <v>4.1340000000000003</v>
      </c>
      <c r="D22" s="26">
        <v>0.40960000000000002</v>
      </c>
      <c r="E22" s="26">
        <v>5.8040000000000001E-2</v>
      </c>
      <c r="F22" s="1" t="str">
        <f>HYPERLINK("http://www.ncbi.nlm.nih.gov/pubmed/?term=Cd8a","Cd8a")</f>
        <v>Cd8a</v>
      </c>
    </row>
    <row r="23" spans="1:6" x14ac:dyDescent="0.25">
      <c r="A23" t="s">
        <v>1883</v>
      </c>
      <c r="B23" t="s">
        <v>434</v>
      </c>
      <c r="C23" s="44">
        <v>4.2249999999999996</v>
      </c>
      <c r="D23" s="26">
        <v>0.3417</v>
      </c>
      <c r="E23" s="30">
        <v>0.66310000000000002</v>
      </c>
      <c r="F23" s="1" t="str">
        <f>HYPERLINK("http://www.ncbi.nlm.nih.gov/pubmed/?term=Cd3g","Cd3g")</f>
        <v>Cd3g</v>
      </c>
    </row>
    <row r="24" spans="1:6" x14ac:dyDescent="0.25">
      <c r="A24" t="s">
        <v>851</v>
      </c>
      <c r="B24" t="s">
        <v>2092</v>
      </c>
      <c r="C24" s="5">
        <v>5.4390000000000001</v>
      </c>
      <c r="D24" s="30">
        <v>0.98350000000000004</v>
      </c>
      <c r="E24" s="50">
        <v>3.3889999999999998</v>
      </c>
      <c r="F24" s="1" t="str">
        <f>HYPERLINK("http://www.ncbi.nlm.nih.gov/pubmed/?term=Kitl","Kitl")</f>
        <v>Kitl</v>
      </c>
    </row>
    <row r="25" spans="1:6" x14ac:dyDescent="0.25">
      <c r="A25" t="s">
        <v>710</v>
      </c>
      <c r="B25" t="s">
        <v>371</v>
      </c>
      <c r="C25" s="44">
        <v>3.7050000000000001</v>
      </c>
      <c r="D25" s="26">
        <v>-8.745E-2</v>
      </c>
      <c r="E25" s="50">
        <v>2.52</v>
      </c>
      <c r="F25" s="1" t="str">
        <f>HYPERLINK("http://www.ncbi.nlm.nih.gov/pubmed/?term=Cd4","Cd4")</f>
        <v>Cd4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1130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366</v>
      </c>
      <c r="B5" t="s">
        <v>483</v>
      </c>
      <c r="C5" s="32">
        <v>3.0409999999999999</v>
      </c>
      <c r="D5" s="32">
        <v>3.34</v>
      </c>
      <c r="E5" s="22">
        <v>4.9909999999999997</v>
      </c>
      <c r="F5" s="1" t="str">
        <f>HYPERLINK("http://www.ncbi.nlm.nih.gov/pubmed/?term=Insr","Insr")</f>
        <v>Insr</v>
      </c>
    </row>
    <row r="6" spans="1:6" x14ac:dyDescent="0.25">
      <c r="A6" t="s">
        <v>332</v>
      </c>
      <c r="B6" t="s">
        <v>109</v>
      </c>
      <c r="C6" s="32">
        <v>2.6070000000000002</v>
      </c>
      <c r="D6" s="48">
        <v>3.5539999999999998</v>
      </c>
      <c r="E6" s="48">
        <v>3.84</v>
      </c>
      <c r="F6" s="1" t="str">
        <f>HYPERLINK("http://www.ncbi.nlm.nih.gov/pubmed/?term=Nlk","Nlk")</f>
        <v>Nlk</v>
      </c>
    </row>
    <row r="7" spans="1:6" x14ac:dyDescent="0.25">
      <c r="A7" t="s">
        <v>425</v>
      </c>
      <c r="B7" t="s">
        <v>757</v>
      </c>
      <c r="C7" s="12">
        <v>2.452</v>
      </c>
      <c r="D7" s="48">
        <v>3.6</v>
      </c>
      <c r="E7" s="48">
        <v>4.4000000000000004</v>
      </c>
      <c r="F7" s="1" t="str">
        <f>HYPERLINK("http://www.ncbi.nlm.nih.gov/pubmed/?term=Pvrl3","Pvrl3")</f>
        <v>Pvrl3</v>
      </c>
    </row>
    <row r="8" spans="1:6" x14ac:dyDescent="0.25">
      <c r="A8" t="s">
        <v>841</v>
      </c>
      <c r="B8" t="s">
        <v>1521</v>
      </c>
      <c r="C8" s="48">
        <v>4.1059999999999999</v>
      </c>
      <c r="D8" s="22">
        <v>5.2510000000000003</v>
      </c>
      <c r="E8" s="25">
        <v>6.45</v>
      </c>
      <c r="F8" s="1" t="str">
        <f>HYPERLINK("http://www.ncbi.nlm.nih.gov/pubmed/?term=Ptpn1","Ptpn1")</f>
        <v>Ptpn1</v>
      </c>
    </row>
    <row r="9" spans="1:6" x14ac:dyDescent="0.25">
      <c r="A9" t="s">
        <v>1958</v>
      </c>
      <c r="B9" t="s">
        <v>1965</v>
      </c>
      <c r="C9" s="22">
        <v>4.9290000000000003</v>
      </c>
      <c r="D9" s="22">
        <v>5.2320000000000002</v>
      </c>
      <c r="E9" s="25">
        <v>6.2359999999999998</v>
      </c>
      <c r="F9" s="1" t="str">
        <f>HYPERLINK("http://www.ncbi.nlm.nih.gov/pubmed/?term=Src","Src")</f>
        <v>Src</v>
      </c>
    </row>
    <row r="10" spans="1:6" x14ac:dyDescent="0.25">
      <c r="A10" t="s">
        <v>2195</v>
      </c>
      <c r="B10" t="s">
        <v>1912</v>
      </c>
      <c r="C10" s="43">
        <v>9.7509999999999994</v>
      </c>
      <c r="D10" s="43">
        <v>10.18</v>
      </c>
      <c r="E10" s="43">
        <v>11.23</v>
      </c>
      <c r="F10" s="1" t="str">
        <f>HYPERLINK("http://www.ncbi.nlm.nih.gov/pubmed/?term=Actb","Actb")</f>
        <v>Actb</v>
      </c>
    </row>
    <row r="11" spans="1:6" x14ac:dyDescent="0.25">
      <c r="A11" t="s">
        <v>86</v>
      </c>
      <c r="B11" t="s">
        <v>1384</v>
      </c>
      <c r="C11" s="22">
        <v>5.2489999999999997</v>
      </c>
      <c r="D11" s="25">
        <v>5.73</v>
      </c>
      <c r="E11" s="29">
        <v>6.5609999999999999</v>
      </c>
      <c r="F11" s="1" t="str">
        <f>HYPERLINK("http://www.ncbi.nlm.nih.gov/pubmed/?term=Iqgap1","Iqgap1")</f>
        <v>Iqgap1</v>
      </c>
    </row>
    <row r="12" spans="1:6" x14ac:dyDescent="0.25">
      <c r="A12" t="s">
        <v>674</v>
      </c>
      <c r="B12" t="s">
        <v>1949</v>
      </c>
      <c r="C12" s="32">
        <v>2.6110000000000002</v>
      </c>
      <c r="D12" s="48">
        <v>4.2789999999999999</v>
      </c>
      <c r="E12" s="29">
        <v>6.8239999999999998</v>
      </c>
      <c r="F12" s="1" t="str">
        <f>HYPERLINK("http://www.ncbi.nlm.nih.gov/pubmed/?term=Rac2","Rac2")</f>
        <v>Rac2</v>
      </c>
    </row>
    <row r="13" spans="1:6" x14ac:dyDescent="0.25">
      <c r="A13" t="s">
        <v>91</v>
      </c>
      <c r="B13" t="s">
        <v>1403</v>
      </c>
      <c r="C13" s="12">
        <v>1.8640000000000001</v>
      </c>
      <c r="D13" s="48">
        <v>3.6930000000000001</v>
      </c>
      <c r="E13" s="22">
        <v>4.968</v>
      </c>
      <c r="F13" s="1" t="str">
        <f>HYPERLINK("http://www.ncbi.nlm.nih.gov/pubmed/?term=Erbb2","Erbb2")</f>
        <v>Erbb2</v>
      </c>
    </row>
    <row r="14" spans="1:6" x14ac:dyDescent="0.25">
      <c r="A14" t="s">
        <v>1472</v>
      </c>
      <c r="B14" t="s">
        <v>1283</v>
      </c>
      <c r="C14" s="25">
        <v>5.843</v>
      </c>
      <c r="D14" s="25">
        <v>6.17</v>
      </c>
      <c r="E14" s="48">
        <v>4.2889999999999997</v>
      </c>
      <c r="F14" s="1" t="str">
        <f>HYPERLINK("http://www.ncbi.nlm.nih.gov/pubmed/?term=Ptprf","Ptprf")</f>
        <v>Ptprf</v>
      </c>
    </row>
    <row r="15" spans="1:6" x14ac:dyDescent="0.25">
      <c r="A15" t="s">
        <v>368</v>
      </c>
      <c r="B15" t="s">
        <v>938</v>
      </c>
      <c r="C15" s="22">
        <v>4.8079999999999998</v>
      </c>
      <c r="D15" s="48">
        <v>3.8130000000000002</v>
      </c>
      <c r="E15" s="48">
        <v>3.5379999999999998</v>
      </c>
      <c r="F15" s="1" t="str">
        <f>HYPERLINK("http://www.ncbi.nlm.nih.gov/pubmed/?term=Igf1r","Igf1r")</f>
        <v>Igf1r</v>
      </c>
    </row>
    <row r="16" spans="1:6" x14ac:dyDescent="0.25">
      <c r="A16" t="s">
        <v>1444</v>
      </c>
      <c r="B16" t="s">
        <v>1417</v>
      </c>
      <c r="C16" s="22">
        <v>4.7190000000000003</v>
      </c>
      <c r="D16" s="48">
        <v>4.1989999999999998</v>
      </c>
      <c r="E16" s="32">
        <v>2.794</v>
      </c>
      <c r="F16" s="1" t="str">
        <f>HYPERLINK("http://www.ncbi.nlm.nih.gov/pubmed/?term=Egfr","Egfr")</f>
        <v>Egfr</v>
      </c>
    </row>
    <row r="17" spans="1:6" x14ac:dyDescent="0.25">
      <c r="A17" t="s">
        <v>107</v>
      </c>
      <c r="B17" t="s">
        <v>1238</v>
      </c>
      <c r="C17" s="22">
        <v>4.7789999999999999</v>
      </c>
      <c r="D17" s="22">
        <v>4.51</v>
      </c>
      <c r="E17" s="12">
        <v>1.65</v>
      </c>
      <c r="F17" s="1" t="str">
        <f>HYPERLINK("http://www.ncbi.nlm.nih.gov/pubmed/?term=Snai2","Snai2")</f>
        <v>Snai2</v>
      </c>
    </row>
    <row r="18" spans="1:6" x14ac:dyDescent="0.25">
      <c r="A18" t="s">
        <v>1056</v>
      </c>
      <c r="B18" t="s">
        <v>1493</v>
      </c>
      <c r="C18" s="22">
        <v>5.1059999999999999</v>
      </c>
      <c r="D18" s="22">
        <v>4.6779999999999999</v>
      </c>
      <c r="E18" s="48">
        <v>4.0839999999999996</v>
      </c>
      <c r="F18" s="1" t="str">
        <f>HYPERLINK("http://www.ncbi.nlm.nih.gov/pubmed/?term=Pard3","Pard3")</f>
        <v>Pard3</v>
      </c>
    </row>
    <row r="19" spans="1:6" x14ac:dyDescent="0.25">
      <c r="A19" t="s">
        <v>650</v>
      </c>
      <c r="B19" t="s">
        <v>2046</v>
      </c>
      <c r="C19" s="22">
        <v>4.5739999999999998</v>
      </c>
      <c r="D19" s="12">
        <v>2.1139999999999999</v>
      </c>
      <c r="E19" s="26">
        <v>-0.61719999999999997</v>
      </c>
      <c r="F19" s="1" t="str">
        <f>HYPERLINK("http://www.ncbi.nlm.nih.gov/pubmed/?term=Tgfbr2","Tgfbr2")</f>
        <v>Tgfbr2</v>
      </c>
    </row>
    <row r="20" spans="1:6" x14ac:dyDescent="0.25">
      <c r="A20" t="s">
        <v>1819</v>
      </c>
      <c r="B20" t="s">
        <v>1948</v>
      </c>
      <c r="C20" s="25">
        <v>6.0519999999999996</v>
      </c>
      <c r="D20" s="25">
        <v>5.57</v>
      </c>
      <c r="E20" s="24">
        <v>7.7460000000000004</v>
      </c>
      <c r="F20" s="1" t="str">
        <f>HYPERLINK("http://www.ncbi.nlm.nih.gov/pubmed/?term=Actn3","Actn3")</f>
        <v>Actn3</v>
      </c>
    </row>
    <row r="21" spans="1:6" x14ac:dyDescent="0.25">
      <c r="A21" t="s">
        <v>620</v>
      </c>
      <c r="B21" t="s">
        <v>2198</v>
      </c>
      <c r="C21" s="12">
        <v>1.9119999999999999</v>
      </c>
      <c r="D21" s="20">
        <v>1.4079999999999999</v>
      </c>
      <c r="E21" s="48">
        <v>3.597</v>
      </c>
      <c r="F21" s="1" t="str">
        <f>HYPERLINK("http://www.ncbi.nlm.nih.gov/pubmed/?term=Farp2","Farp2")</f>
        <v>Farp2</v>
      </c>
    </row>
    <row r="22" spans="1:6" x14ac:dyDescent="0.25">
      <c r="A22" t="s">
        <v>1203</v>
      </c>
      <c r="B22" t="s">
        <v>737</v>
      </c>
      <c r="C22" s="22">
        <v>5.0419999999999998</v>
      </c>
      <c r="D22" s="32">
        <v>3.0350000000000001</v>
      </c>
      <c r="E22" s="48">
        <v>3.9169999999999998</v>
      </c>
      <c r="F22" s="1" t="str">
        <f>HYPERLINK("http://www.ncbi.nlm.nih.gov/pubmed/?term=Baiap2","Baiap2")</f>
        <v>Baiap2</v>
      </c>
    </row>
    <row r="23" spans="1:6" x14ac:dyDescent="0.25">
      <c r="A23" t="s">
        <v>1289</v>
      </c>
      <c r="B23" t="s">
        <v>2001</v>
      </c>
      <c r="C23" s="22">
        <v>4.7679999999999998</v>
      </c>
      <c r="D23" s="32">
        <v>2.8929999999999998</v>
      </c>
      <c r="E23" s="32">
        <v>3.339</v>
      </c>
      <c r="F23" s="1" t="str">
        <f>HYPERLINK("http://www.ncbi.nlm.nih.gov/pubmed/?term=Smad3","Smad3")</f>
        <v>Smad3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2094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1215</v>
      </c>
      <c r="B5" t="s">
        <v>637</v>
      </c>
      <c r="C5" s="43">
        <v>6.4459999999999997</v>
      </c>
      <c r="D5" s="43">
        <v>7.2</v>
      </c>
      <c r="E5" s="16">
        <v>4.6769999999999996</v>
      </c>
      <c r="F5" s="1" t="str">
        <f>HYPERLINK("http://www.ncbi.nlm.nih.gov/pubmed/?term=Glul","Glul")</f>
        <v>Glul</v>
      </c>
    </row>
    <row r="6" spans="1:6" x14ac:dyDescent="0.25">
      <c r="A6" t="s">
        <v>204</v>
      </c>
      <c r="B6" t="s">
        <v>1798</v>
      </c>
      <c r="C6" s="16">
        <v>4.7560000000000002</v>
      </c>
      <c r="D6" s="3">
        <v>4.1689999999999996</v>
      </c>
      <c r="E6" s="16">
        <v>5.2770000000000001</v>
      </c>
      <c r="F6" s="1" t="str">
        <f>HYPERLINK("http://www.ncbi.nlm.nih.gov/pubmed/?term=Cat","Cat")</f>
        <v>Cat</v>
      </c>
    </row>
    <row r="7" spans="1:6" x14ac:dyDescent="0.25">
      <c r="A7" t="s">
        <v>455</v>
      </c>
      <c r="B7" t="s">
        <v>679</v>
      </c>
      <c r="C7" s="3">
        <v>3.6850000000000001</v>
      </c>
      <c r="D7" s="22">
        <v>3.0179999999999998</v>
      </c>
      <c r="E7" s="3">
        <v>4.1130000000000004</v>
      </c>
      <c r="F7" s="1" t="str">
        <f>HYPERLINK("http://www.ncbi.nlm.nih.gov/pubmed/?term=Pgp","Pgp")</f>
        <v>Pgp</v>
      </c>
    </row>
    <row r="8" spans="1:6" x14ac:dyDescent="0.25">
      <c r="A8" t="s">
        <v>581</v>
      </c>
      <c r="B8" t="s">
        <v>1127</v>
      </c>
      <c r="C8" s="3">
        <v>3.851</v>
      </c>
      <c r="D8" s="41">
        <v>2.3039999999999998</v>
      </c>
      <c r="E8" s="3">
        <v>3.7</v>
      </c>
      <c r="F8" s="1" t="str">
        <f>HYPERLINK("http://www.ncbi.nlm.nih.gov/pubmed/?term=Shmt1","Shmt1")</f>
        <v>Shmt1</v>
      </c>
    </row>
    <row r="9" spans="1:6" x14ac:dyDescent="0.25">
      <c r="A9" t="s">
        <v>1366</v>
      </c>
      <c r="B9" t="s">
        <v>97</v>
      </c>
      <c r="C9" s="16">
        <v>5.3230000000000004</v>
      </c>
      <c r="D9" s="3">
        <v>3.5150000000000001</v>
      </c>
      <c r="E9" s="16">
        <v>4.758</v>
      </c>
      <c r="F9" s="1" t="str">
        <f>HYPERLINK("http://www.ncbi.nlm.nih.gov/pubmed/?term=Acat1","Acat1")</f>
        <v>Acat1</v>
      </c>
    </row>
    <row r="10" spans="1:6" x14ac:dyDescent="0.25">
      <c r="A10" t="s">
        <v>291</v>
      </c>
      <c r="B10" t="s">
        <v>306</v>
      </c>
      <c r="C10" s="16">
        <v>5.3719999999999999</v>
      </c>
      <c r="D10" s="3">
        <v>3.6480000000000001</v>
      </c>
      <c r="E10" s="16">
        <v>4.6189999999999998</v>
      </c>
      <c r="F10" s="1" t="str">
        <f>HYPERLINK("http://www.ncbi.nlm.nih.gov/pubmed/?term=Gcsh","Gcsh")</f>
        <v>Gcsh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1923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1323</v>
      </c>
      <c r="B5" t="s">
        <v>990</v>
      </c>
      <c r="F5" s="1" t="str">
        <f>HYPERLINK("http://www.ncbi.nlm.nih.gov/pubmed/?term=Psmb9","Psmb9")</f>
        <v>Psmb9</v>
      </c>
    </row>
    <row r="6" spans="1:6" x14ac:dyDescent="0.25">
      <c r="A6" t="s">
        <v>2026</v>
      </c>
      <c r="B6" t="s">
        <v>210</v>
      </c>
      <c r="C6" s="33">
        <v>4.617</v>
      </c>
      <c r="D6" s="2">
        <v>7.09</v>
      </c>
      <c r="E6" s="43">
        <v>8.0299999999999994</v>
      </c>
      <c r="F6" s="1" t="str">
        <f>HYPERLINK("http://www.ncbi.nlm.nih.gov/pubmed/?term=Psme1","Psme1")</f>
        <v>Psme1</v>
      </c>
    </row>
    <row r="7" spans="1:6" x14ac:dyDescent="0.25">
      <c r="A7" t="s">
        <v>1305</v>
      </c>
      <c r="B7" t="s">
        <v>991</v>
      </c>
      <c r="C7" s="33">
        <v>4.5430000000000001</v>
      </c>
      <c r="D7" s="2">
        <v>6.569</v>
      </c>
      <c r="E7" s="2">
        <v>6.8079999999999998</v>
      </c>
      <c r="F7" s="1" t="str">
        <f>HYPERLINK("http://www.ncbi.nlm.nih.gov/pubmed/?term=Psmb8","Psmb8")</f>
        <v>Psmb8</v>
      </c>
    </row>
    <row r="8" spans="1:6" x14ac:dyDescent="0.25">
      <c r="A8" t="s">
        <v>645</v>
      </c>
      <c r="B8" t="s">
        <v>207</v>
      </c>
      <c r="C8" s="33">
        <v>4.7190000000000003</v>
      </c>
      <c r="D8" s="33">
        <v>5.1440000000000001</v>
      </c>
      <c r="E8" s="45">
        <v>6.3719999999999999</v>
      </c>
      <c r="F8" s="1" t="str">
        <f>HYPERLINK("http://www.ncbi.nlm.nih.gov/pubmed/?term=Psme2","Psme2")</f>
        <v>Psme2</v>
      </c>
    </row>
    <row r="9" spans="1:6" x14ac:dyDescent="0.25">
      <c r="A9" t="s">
        <v>668</v>
      </c>
      <c r="B9" t="s">
        <v>2179</v>
      </c>
      <c r="C9" s="2">
        <v>7.0090000000000003</v>
      </c>
      <c r="D9" s="45">
        <v>5.7519999999999998</v>
      </c>
      <c r="E9" s="45">
        <v>5.6970000000000001</v>
      </c>
      <c r="F9" s="1" t="str">
        <f>HYPERLINK("http://www.ncbi.nlm.nih.gov/pubmed/?term=Psmd11","Psmd11")</f>
        <v>Psmd11</v>
      </c>
    </row>
    <row r="10" spans="1:6" x14ac:dyDescent="0.25">
      <c r="A10" t="s">
        <v>464</v>
      </c>
      <c r="B10" t="s">
        <v>2180</v>
      </c>
      <c r="C10" s="45">
        <v>6.1769999999999996</v>
      </c>
      <c r="D10" s="33">
        <v>4.8540000000000001</v>
      </c>
      <c r="E10" s="33">
        <v>4.8220000000000001</v>
      </c>
      <c r="F10" s="1" t="str">
        <f>HYPERLINK("http://www.ncbi.nlm.nih.gov/pubmed/?term=Psmd12","Psmd12")</f>
        <v>Psmd12</v>
      </c>
    </row>
    <row r="11" spans="1:6" x14ac:dyDescent="0.25">
      <c r="A11" t="s">
        <v>2200</v>
      </c>
      <c r="B11" t="s">
        <v>1154</v>
      </c>
      <c r="C11" s="2">
        <v>6.5910000000000002</v>
      </c>
      <c r="D11" s="45">
        <v>5.5590000000000002</v>
      </c>
      <c r="E11" s="33">
        <v>5.4420000000000002</v>
      </c>
      <c r="F11" s="1" t="str">
        <f>HYPERLINK("http://www.ncbi.nlm.nih.gov/pubmed/?term=Psmc1","Psmc1")</f>
        <v>Psmc1</v>
      </c>
    </row>
    <row r="12" spans="1:6" x14ac:dyDescent="0.25">
      <c r="A12" t="s">
        <v>797</v>
      </c>
      <c r="B12" t="s">
        <v>72</v>
      </c>
      <c r="C12" s="45">
        <v>6.34</v>
      </c>
      <c r="D12" s="33">
        <v>5.3230000000000004</v>
      </c>
      <c r="E12" s="33">
        <v>5.1449999999999996</v>
      </c>
      <c r="F12" s="1" t="str">
        <f>HYPERLINK("http://www.ncbi.nlm.nih.gov/pubmed/?term=Psmd6","Psmd6")</f>
        <v>Psmd6</v>
      </c>
    </row>
    <row r="13" spans="1:6" x14ac:dyDescent="0.25">
      <c r="A13" t="s">
        <v>1901</v>
      </c>
      <c r="B13" t="s">
        <v>1159</v>
      </c>
      <c r="C13" s="45">
        <v>6.3810000000000002</v>
      </c>
      <c r="D13" s="33">
        <v>5.109</v>
      </c>
      <c r="E13" s="33">
        <v>4.835</v>
      </c>
      <c r="F13" s="1" t="str">
        <f>HYPERLINK("http://www.ncbi.nlm.nih.gov/pubmed/?term=Psmc6","Psmc6")</f>
        <v>Psmc6</v>
      </c>
    </row>
    <row r="14" spans="1:6" x14ac:dyDescent="0.25">
      <c r="A14" t="s">
        <v>1964</v>
      </c>
      <c r="B14" t="s">
        <v>73</v>
      </c>
      <c r="C14" s="45">
        <v>6.444</v>
      </c>
      <c r="D14" s="33">
        <v>5.2119999999999997</v>
      </c>
      <c r="E14" s="33">
        <v>5.1109999999999998</v>
      </c>
      <c r="F14" s="1" t="str">
        <f>HYPERLINK("http://www.ncbi.nlm.nih.gov/pubmed/?term=Psmd1","Psmd1")</f>
        <v>Psmd1</v>
      </c>
    </row>
    <row r="15" spans="1:6" x14ac:dyDescent="0.25">
      <c r="A15" t="s">
        <v>1726</v>
      </c>
      <c r="B15" t="s">
        <v>71</v>
      </c>
      <c r="C15" s="2">
        <v>6.8869999999999996</v>
      </c>
      <c r="D15" s="45">
        <v>5.6849999999999996</v>
      </c>
      <c r="E15" s="33">
        <v>5.3529999999999998</v>
      </c>
      <c r="F15" s="1" t="str">
        <f>HYPERLINK("http://www.ncbi.nlm.nih.gov/pubmed/?term=Psmd7","Psmd7")</f>
        <v>Psmd7</v>
      </c>
    </row>
    <row r="16" spans="1:6" x14ac:dyDescent="0.25">
      <c r="A16" t="s">
        <v>1581</v>
      </c>
      <c r="B16" t="s">
        <v>1376</v>
      </c>
      <c r="C16" s="26">
        <v>-0.12559999999999999</v>
      </c>
      <c r="D16" s="26">
        <v>-0.60250000000000004</v>
      </c>
      <c r="E16" s="26">
        <v>-3.992</v>
      </c>
      <c r="F16" s="1" t="str">
        <f>HYPERLINK("http://www.ncbi.nlm.nih.gov/pubmed/?term=Psme2b-ps","Psme2b-ps")</f>
        <v>Psme2b-ps</v>
      </c>
    </row>
    <row r="17" spans="1:6" x14ac:dyDescent="0.25">
      <c r="A17" t="s">
        <v>1185</v>
      </c>
      <c r="B17" t="s">
        <v>990</v>
      </c>
      <c r="C17" s="43">
        <v>8.0960000000000001</v>
      </c>
      <c r="D17" s="2">
        <v>6.6079999999999997</v>
      </c>
      <c r="E17" s="45">
        <v>6.3289999999999997</v>
      </c>
      <c r="F17" s="1" t="str">
        <f>HYPERLINK("http://www.ncbi.nlm.nih.gov/pubmed/?term=Psmb9","Psmb9")</f>
        <v>Psmb9</v>
      </c>
    </row>
    <row r="18" spans="1:6" x14ac:dyDescent="0.25">
      <c r="A18" t="s">
        <v>1857</v>
      </c>
      <c r="B18" t="s">
        <v>1156</v>
      </c>
      <c r="C18" s="2">
        <v>7.0060000000000002</v>
      </c>
      <c r="D18" s="45">
        <v>5.9359999999999999</v>
      </c>
      <c r="E18" s="45">
        <v>6.0369999999999999</v>
      </c>
      <c r="F18" s="1" t="str">
        <f>HYPERLINK("http://www.ncbi.nlm.nih.gov/pubmed/?term=Psmc3","Psmc3")</f>
        <v>Psmc3</v>
      </c>
    </row>
    <row r="19" spans="1:6" x14ac:dyDescent="0.25">
      <c r="A19" t="s">
        <v>384</v>
      </c>
      <c r="B19" t="s">
        <v>70</v>
      </c>
      <c r="C19" s="2">
        <v>7.2229999999999999</v>
      </c>
      <c r="D19" s="45">
        <v>5.9770000000000003</v>
      </c>
      <c r="E19" s="45">
        <v>6.0449999999999999</v>
      </c>
      <c r="F19" s="1" t="str">
        <f>HYPERLINK("http://www.ncbi.nlm.nih.gov/pubmed/?term=Psmd4","Psmd4")</f>
        <v>Psmd4</v>
      </c>
    </row>
    <row r="20" spans="1:6" x14ac:dyDescent="0.25">
      <c r="A20" t="s">
        <v>1985</v>
      </c>
      <c r="B20" t="s">
        <v>993</v>
      </c>
      <c r="C20" s="43">
        <v>8.6140000000000008</v>
      </c>
      <c r="D20" s="45">
        <v>6.4870000000000001</v>
      </c>
      <c r="E20" s="2">
        <v>6.84</v>
      </c>
      <c r="F20" s="1" t="str">
        <f>HYPERLINK("http://www.ncbi.nlm.nih.gov/pubmed/?term=Psmb4","Psmb4")</f>
        <v>Psmb4</v>
      </c>
    </row>
    <row r="21" spans="1:6" x14ac:dyDescent="0.25">
      <c r="A21" t="s">
        <v>664</v>
      </c>
      <c r="B21" t="s">
        <v>992</v>
      </c>
      <c r="C21" s="2">
        <v>7.0510000000000002</v>
      </c>
      <c r="D21" s="45">
        <v>5.9669999999999996</v>
      </c>
      <c r="E21" s="45">
        <v>6.3289999999999997</v>
      </c>
      <c r="F21" s="1" t="str">
        <f>HYPERLINK("http://www.ncbi.nlm.nih.gov/pubmed/?term=Psmb5","Psmb5")</f>
        <v>Psmb5</v>
      </c>
    </row>
    <row r="22" spans="1:6" x14ac:dyDescent="0.25">
      <c r="A22" t="s">
        <v>502</v>
      </c>
      <c r="B22" t="s">
        <v>862</v>
      </c>
      <c r="C22" s="43">
        <v>8.0350000000000001</v>
      </c>
      <c r="D22" s="2">
        <v>6.7530000000000001</v>
      </c>
      <c r="E22" s="2">
        <v>6.7610000000000001</v>
      </c>
      <c r="F22" s="1" t="str">
        <f>HYPERLINK("http://www.ncbi.nlm.nih.gov/pubmed/?term=Psma7","Psma7")</f>
        <v>Psma7</v>
      </c>
    </row>
    <row r="23" spans="1:6" x14ac:dyDescent="0.25">
      <c r="A23" t="s">
        <v>1558</v>
      </c>
      <c r="B23" t="s">
        <v>994</v>
      </c>
      <c r="C23" s="2">
        <v>7.1879999999999997</v>
      </c>
      <c r="D23" s="45">
        <v>6.0049999999999999</v>
      </c>
      <c r="E23" s="45">
        <v>6.444</v>
      </c>
      <c r="F23" s="1" t="str">
        <f>HYPERLINK("http://www.ncbi.nlm.nih.gov/pubmed/?term=Psmb2","Psmb2")</f>
        <v>Psmb2</v>
      </c>
    </row>
    <row r="24" spans="1:6" x14ac:dyDescent="0.25">
      <c r="A24" t="s">
        <v>1103</v>
      </c>
      <c r="B24" t="s">
        <v>1155</v>
      </c>
      <c r="C24" s="2">
        <v>7.0590000000000002</v>
      </c>
      <c r="D24" s="45">
        <v>5.8280000000000003</v>
      </c>
      <c r="E24" s="45">
        <v>6.0190000000000001</v>
      </c>
      <c r="F24" s="1" t="str">
        <f>HYPERLINK("http://www.ncbi.nlm.nih.gov/pubmed/?term=Psmc2","Psmc2")</f>
        <v>Psmc2</v>
      </c>
    </row>
    <row r="25" spans="1:6" x14ac:dyDescent="0.25">
      <c r="A25" t="s">
        <v>998</v>
      </c>
      <c r="B25" t="s">
        <v>1157</v>
      </c>
      <c r="C25" s="2">
        <v>7.0129999999999999</v>
      </c>
      <c r="D25" s="45">
        <v>5.8920000000000003</v>
      </c>
      <c r="E25" s="45">
        <v>6.3979999999999997</v>
      </c>
      <c r="F25" s="1" t="str">
        <f>HYPERLINK("http://www.ncbi.nlm.nih.gov/pubmed/?term=Psmc4","Psmc4")</f>
        <v>Psmc4</v>
      </c>
    </row>
    <row r="26" spans="1:6" x14ac:dyDescent="0.25">
      <c r="A26" t="s">
        <v>684</v>
      </c>
      <c r="B26" t="s">
        <v>860</v>
      </c>
      <c r="C26" s="2">
        <v>7.4409999999999998</v>
      </c>
      <c r="D26" s="45">
        <v>6.1639999999999997</v>
      </c>
      <c r="E26" s="45">
        <v>6.258</v>
      </c>
      <c r="F26" s="1" t="str">
        <f>HYPERLINK("http://www.ncbi.nlm.nih.gov/pubmed/?term=Psma1","Psma1")</f>
        <v>Psma1</v>
      </c>
    </row>
    <row r="27" spans="1:6" x14ac:dyDescent="0.25">
      <c r="A27" t="s">
        <v>1817</v>
      </c>
      <c r="B27" t="s">
        <v>585</v>
      </c>
      <c r="C27" s="43">
        <v>8.3919999999999995</v>
      </c>
      <c r="D27" s="45">
        <v>6.0490000000000004</v>
      </c>
      <c r="E27" s="43">
        <v>7.5030000000000001</v>
      </c>
      <c r="F27" s="1" t="str">
        <f>HYPERLINK("http://www.ncbi.nlm.nih.gov/pubmed/?term=Psmb10","Psmb10")</f>
        <v>Psmb10</v>
      </c>
    </row>
    <row r="28" spans="1:6" x14ac:dyDescent="0.25">
      <c r="A28" t="s">
        <v>141</v>
      </c>
      <c r="B28" t="s">
        <v>863</v>
      </c>
      <c r="C28" s="43">
        <v>7.5209999999999999</v>
      </c>
      <c r="D28" s="45">
        <v>6.298</v>
      </c>
      <c r="E28" s="2">
        <v>6.8109999999999999</v>
      </c>
      <c r="F28" s="1" t="str">
        <f>HYPERLINK("http://www.ncbi.nlm.nih.gov/pubmed/?term=Psma4","Psma4")</f>
        <v>Psma4</v>
      </c>
    </row>
    <row r="29" spans="1:6" x14ac:dyDescent="0.25">
      <c r="A29" t="s">
        <v>1894</v>
      </c>
      <c r="B29" t="s">
        <v>864</v>
      </c>
      <c r="C29" s="45">
        <v>5.7270000000000003</v>
      </c>
      <c r="D29" s="22">
        <v>4.1109999999999998</v>
      </c>
      <c r="E29" s="22">
        <v>4.1340000000000003</v>
      </c>
      <c r="F29" s="1" t="str">
        <f>HYPERLINK("http://www.ncbi.nlm.nih.gov/pubmed/?term=Psma5","Psma5")</f>
        <v>Psma5</v>
      </c>
    </row>
    <row r="30" spans="1:6" x14ac:dyDescent="0.25">
      <c r="A30" t="s">
        <v>380</v>
      </c>
      <c r="B30" t="s">
        <v>584</v>
      </c>
      <c r="C30" s="43">
        <v>7.97</v>
      </c>
      <c r="D30" s="26">
        <v>-0.65380000000000005</v>
      </c>
      <c r="E30" s="26">
        <v>-0.23050000000000001</v>
      </c>
      <c r="F30" s="1" t="str">
        <f>HYPERLINK("http://www.ncbi.nlm.nih.gov/pubmed/?term=Psmb11","Psmb11")</f>
        <v>Psmb11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2121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2016</v>
      </c>
      <c r="B5" t="s">
        <v>1464</v>
      </c>
      <c r="C5" s="26">
        <v>-0.25159999999999999</v>
      </c>
      <c r="D5" s="22">
        <v>4.952</v>
      </c>
      <c r="E5" s="20">
        <v>0.69540000000000002</v>
      </c>
      <c r="F5" s="1" t="str">
        <f>HYPERLINK("http://www.ncbi.nlm.nih.gov/pubmed/?term=Pik3cg","Pik3cg")</f>
        <v>Pik3cg</v>
      </c>
    </row>
    <row r="6" spans="1:6" x14ac:dyDescent="0.25">
      <c r="A6" t="s">
        <v>14</v>
      </c>
      <c r="B6" t="s">
        <v>2070</v>
      </c>
      <c r="C6" s="22">
        <v>5.2889999999999997</v>
      </c>
      <c r="D6" s="25">
        <v>6.4050000000000002</v>
      </c>
      <c r="E6" s="25">
        <v>5.78</v>
      </c>
      <c r="F6" s="1" t="str">
        <f>HYPERLINK("http://www.ncbi.nlm.nih.gov/pubmed/?term=Itgb4","Itgb4")</f>
        <v>Itgb4</v>
      </c>
    </row>
    <row r="7" spans="1:6" x14ac:dyDescent="0.25">
      <c r="A7" t="s">
        <v>1335</v>
      </c>
      <c r="B7" t="s">
        <v>1328</v>
      </c>
      <c r="C7" s="20">
        <v>0.53520000000000001</v>
      </c>
      <c r="D7" s="25">
        <v>5.8090000000000002</v>
      </c>
      <c r="E7" s="32">
        <v>2.5489999999999999</v>
      </c>
      <c r="F7" s="1" t="str">
        <f>HYPERLINK("http://www.ncbi.nlm.nih.gov/pubmed/?term=Pik3r5","Pik3r5")</f>
        <v>Pik3r5</v>
      </c>
    </row>
    <row r="8" spans="1:6" x14ac:dyDescent="0.25">
      <c r="A8" t="s">
        <v>1231</v>
      </c>
      <c r="B8" t="s">
        <v>453</v>
      </c>
      <c r="C8" s="32">
        <v>3.1230000000000002</v>
      </c>
      <c r="D8" s="24">
        <v>7.5839999999999996</v>
      </c>
      <c r="E8" s="22">
        <v>5.0309999999999997</v>
      </c>
      <c r="F8" s="1" t="str">
        <f>HYPERLINK("http://www.ncbi.nlm.nih.gov/pubmed/?term=Gsn","Gsn")</f>
        <v>Gsn</v>
      </c>
    </row>
    <row r="9" spans="1:6" x14ac:dyDescent="0.25">
      <c r="A9" t="s">
        <v>1648</v>
      </c>
      <c r="B9" t="s">
        <v>311</v>
      </c>
      <c r="C9" s="25">
        <v>5.6260000000000003</v>
      </c>
      <c r="D9" s="29">
        <v>7.0359999999999996</v>
      </c>
      <c r="E9" s="25">
        <v>6.3810000000000002</v>
      </c>
      <c r="F9" s="1" t="str">
        <f>HYPERLINK("http://www.ncbi.nlm.nih.gov/pubmed/?term=Itga6","Itga6")</f>
        <v>Itga6</v>
      </c>
    </row>
    <row r="10" spans="1:6" x14ac:dyDescent="0.25">
      <c r="A10" t="s">
        <v>2109</v>
      </c>
      <c r="B10" t="s">
        <v>422</v>
      </c>
      <c r="C10" s="12">
        <v>1.55</v>
      </c>
      <c r="D10" s="48">
        <v>3.9460000000000002</v>
      </c>
      <c r="E10" s="32">
        <v>3.4809999999999999</v>
      </c>
      <c r="F10" s="1" t="str">
        <f>HYPERLINK("http://www.ncbi.nlm.nih.gov/pubmed/?term=Mylpf","Mylpf")</f>
        <v>Mylpf</v>
      </c>
    </row>
    <row r="11" spans="1:6" x14ac:dyDescent="0.25">
      <c r="A11" t="s">
        <v>1053</v>
      </c>
      <c r="B11" t="s">
        <v>784</v>
      </c>
      <c r="C11" s="20">
        <v>1.0640000000000001</v>
      </c>
      <c r="D11" s="48">
        <v>3.9489999999999998</v>
      </c>
      <c r="E11" s="32">
        <v>2.758</v>
      </c>
      <c r="F11" s="1" t="str">
        <f>HYPERLINK("http://www.ncbi.nlm.nih.gov/pubmed/?term=Myh14","Myh14")</f>
        <v>Myh14</v>
      </c>
    </row>
    <row r="12" spans="1:6" x14ac:dyDescent="0.25">
      <c r="A12" t="s">
        <v>1012</v>
      </c>
      <c r="B12" t="s">
        <v>608</v>
      </c>
      <c r="C12" s="20">
        <v>0.79710000000000003</v>
      </c>
      <c r="D12" s="48">
        <v>3.81</v>
      </c>
      <c r="E12" s="12">
        <v>2.1230000000000002</v>
      </c>
      <c r="F12" s="1" t="str">
        <f>HYPERLINK("http://www.ncbi.nlm.nih.gov/pubmed/?term=Pak1","Pak1")</f>
        <v>Pak1</v>
      </c>
    </row>
    <row r="13" spans="1:6" x14ac:dyDescent="0.25">
      <c r="A13" t="s">
        <v>1828</v>
      </c>
      <c r="B13" t="s">
        <v>1532</v>
      </c>
      <c r="C13" s="12">
        <v>1.986</v>
      </c>
      <c r="D13" s="25">
        <v>5.7009999999999996</v>
      </c>
      <c r="E13" s="32">
        <v>2.6230000000000002</v>
      </c>
      <c r="F13" s="1" t="str">
        <f>HYPERLINK("http://www.ncbi.nlm.nih.gov/pubmed/?term=Vav1","Vav1")</f>
        <v>Vav1</v>
      </c>
    </row>
    <row r="14" spans="1:6" x14ac:dyDescent="0.25">
      <c r="A14" t="s">
        <v>773</v>
      </c>
      <c r="B14" t="s">
        <v>542</v>
      </c>
      <c r="C14" s="48">
        <v>3.5619999999999998</v>
      </c>
      <c r="D14" s="22">
        <v>4.7210000000000001</v>
      </c>
      <c r="E14" s="48">
        <v>3.738</v>
      </c>
      <c r="F14" s="1" t="str">
        <f>HYPERLINK("http://www.ncbi.nlm.nih.gov/pubmed/?term=Ssh3","Ssh3")</f>
        <v>Ssh3</v>
      </c>
    </row>
    <row r="15" spans="1:6" x14ac:dyDescent="0.25">
      <c r="A15" t="s">
        <v>934</v>
      </c>
      <c r="B15" t="s">
        <v>214</v>
      </c>
      <c r="C15" s="22">
        <v>5.1150000000000002</v>
      </c>
      <c r="D15" s="25">
        <v>6.1420000000000003</v>
      </c>
      <c r="E15" s="25">
        <v>6.0039999999999996</v>
      </c>
      <c r="F15" s="1" t="str">
        <f>HYPERLINK("http://www.ncbi.nlm.nih.gov/pubmed/?term=Myl12b","Myl12b")</f>
        <v>Myl12b</v>
      </c>
    </row>
    <row r="16" spans="1:6" x14ac:dyDescent="0.25">
      <c r="A16" t="s">
        <v>658</v>
      </c>
      <c r="B16" t="s">
        <v>310</v>
      </c>
      <c r="C16" s="22">
        <v>4.585</v>
      </c>
      <c r="D16" s="22">
        <v>5.2720000000000002</v>
      </c>
      <c r="E16" s="25">
        <v>5.6970000000000001</v>
      </c>
      <c r="F16" s="1" t="str">
        <f>HYPERLINK("http://www.ncbi.nlm.nih.gov/pubmed/?term=Itga3","Itga3")</f>
        <v>Itga3</v>
      </c>
    </row>
    <row r="17" spans="1:6" x14ac:dyDescent="0.25">
      <c r="A17" t="s">
        <v>1216</v>
      </c>
      <c r="B17" t="s">
        <v>259</v>
      </c>
      <c r="C17" s="32">
        <v>2.5670000000000002</v>
      </c>
      <c r="D17" s="48">
        <v>3.6139999999999999</v>
      </c>
      <c r="E17" s="22">
        <v>4.75</v>
      </c>
      <c r="F17" s="1" t="str">
        <f>HYPERLINK("http://www.ncbi.nlm.nih.gov/pubmed/?term=Scin","Scin")</f>
        <v>Scin</v>
      </c>
    </row>
    <row r="18" spans="1:6" x14ac:dyDescent="0.25">
      <c r="A18" t="s">
        <v>421</v>
      </c>
      <c r="B18" t="s">
        <v>1535</v>
      </c>
      <c r="C18" s="12">
        <v>2.2810000000000001</v>
      </c>
      <c r="D18" s="32">
        <v>2.8679999999999999</v>
      </c>
      <c r="E18" s="48">
        <v>4.0170000000000003</v>
      </c>
      <c r="F18" s="1" t="str">
        <f>HYPERLINK("http://www.ncbi.nlm.nih.gov/pubmed/?term=Vav2","Vav2")</f>
        <v>Vav2</v>
      </c>
    </row>
    <row r="19" spans="1:6" x14ac:dyDescent="0.25">
      <c r="A19" t="s">
        <v>327</v>
      </c>
      <c r="B19" t="s">
        <v>95</v>
      </c>
      <c r="C19" s="12">
        <v>2.165</v>
      </c>
      <c r="D19" s="12">
        <v>2.375</v>
      </c>
      <c r="E19" s="22">
        <v>4.7530000000000001</v>
      </c>
      <c r="F19" s="1" t="str">
        <f>HYPERLINK("http://www.ncbi.nlm.nih.gov/pubmed/?term=Cyfip2","Cyfip2")</f>
        <v>Cyfip2</v>
      </c>
    </row>
    <row r="20" spans="1:6" x14ac:dyDescent="0.25">
      <c r="A20" t="s">
        <v>916</v>
      </c>
      <c r="B20" t="s">
        <v>1436</v>
      </c>
      <c r="C20" s="26">
        <v>-2.0179999999999998</v>
      </c>
      <c r="D20" s="12">
        <v>2.0539999999999998</v>
      </c>
      <c r="E20" s="32">
        <v>3.391</v>
      </c>
      <c r="F20" s="1" t="str">
        <f>HYPERLINK("http://www.ncbi.nlm.nih.gov/pubmed/?term=Myl7","Myl7")</f>
        <v>Myl7</v>
      </c>
    </row>
    <row r="21" spans="1:6" x14ac:dyDescent="0.25">
      <c r="A21" t="s">
        <v>1089</v>
      </c>
      <c r="B21" t="s">
        <v>184</v>
      </c>
      <c r="C21" s="20">
        <v>1.4219999999999999</v>
      </c>
      <c r="D21" s="12">
        <v>2.3879999999999999</v>
      </c>
      <c r="E21" s="32">
        <v>3.488</v>
      </c>
      <c r="F21" s="1" t="str">
        <f>HYPERLINK("http://www.ncbi.nlm.nih.gov/pubmed/?term=Bdkrb2","Bdkrb2")</f>
        <v>Bdkrb2</v>
      </c>
    </row>
    <row r="22" spans="1:6" x14ac:dyDescent="0.25">
      <c r="A22" t="s">
        <v>1655</v>
      </c>
      <c r="B22" t="s">
        <v>260</v>
      </c>
      <c r="C22" s="26">
        <v>-4.9090000000000002E-2</v>
      </c>
      <c r="D22" s="48">
        <v>3.6469999999999998</v>
      </c>
      <c r="E22" s="29">
        <v>6.85</v>
      </c>
      <c r="F22" s="1" t="str">
        <f>HYPERLINK("http://www.ncbi.nlm.nih.gov/pubmed/?term=Pip5k1b","Pip5k1b")</f>
        <v>Pip5k1b</v>
      </c>
    </row>
    <row r="23" spans="1:6" x14ac:dyDescent="0.25">
      <c r="A23" t="s">
        <v>1402</v>
      </c>
      <c r="B23" t="s">
        <v>1294</v>
      </c>
      <c r="C23" s="26">
        <v>-2.9169999999999998</v>
      </c>
      <c r="D23" s="32">
        <v>3.1139999999999999</v>
      </c>
      <c r="E23" s="48">
        <v>3.8559999999999999</v>
      </c>
      <c r="F23" s="1" t="str">
        <f>HYPERLINK("http://www.ncbi.nlm.nih.gov/pubmed/?term=Itgb8","Itgb8")</f>
        <v>Itgb8</v>
      </c>
    </row>
    <row r="24" spans="1:6" x14ac:dyDescent="0.25">
      <c r="A24" t="s">
        <v>2023</v>
      </c>
      <c r="B24" t="s">
        <v>897</v>
      </c>
      <c r="C24" s="48">
        <v>4.37</v>
      </c>
      <c r="D24" s="22">
        <v>5.0970000000000004</v>
      </c>
      <c r="E24" s="22">
        <v>5.4119999999999999</v>
      </c>
      <c r="F24" s="1" t="str">
        <f>HYPERLINK("http://www.ncbi.nlm.nih.gov/pubmed/?term=Hras1","Hras1")</f>
        <v>Hras1</v>
      </c>
    </row>
    <row r="25" spans="1:6" x14ac:dyDescent="0.25">
      <c r="A25" t="s">
        <v>1958</v>
      </c>
      <c r="B25" t="s">
        <v>1965</v>
      </c>
      <c r="C25" s="22">
        <v>4.9290000000000003</v>
      </c>
      <c r="D25" s="22">
        <v>5.2320000000000002</v>
      </c>
      <c r="E25" s="25">
        <v>6.2359999999999998</v>
      </c>
      <c r="F25" s="1" t="str">
        <f>HYPERLINK("http://www.ncbi.nlm.nih.gov/pubmed/?term=Src","Src")</f>
        <v>Src</v>
      </c>
    </row>
    <row r="26" spans="1:6" x14ac:dyDescent="0.25">
      <c r="A26" t="s">
        <v>819</v>
      </c>
      <c r="B26" t="s">
        <v>1609</v>
      </c>
      <c r="C26" s="48">
        <v>3.9140000000000001</v>
      </c>
      <c r="D26" s="22">
        <v>5.149</v>
      </c>
      <c r="E26" s="22">
        <v>5.4859999999999998</v>
      </c>
      <c r="F26" s="1" t="str">
        <f>HYPERLINK("http://www.ncbi.nlm.nih.gov/pubmed/?term=Slc9a1","Slc9a1")</f>
        <v>Slc9a1</v>
      </c>
    </row>
    <row r="27" spans="1:6" x14ac:dyDescent="0.25">
      <c r="A27" t="s">
        <v>2195</v>
      </c>
      <c r="B27" t="s">
        <v>1912</v>
      </c>
      <c r="C27" s="43">
        <v>9.7509999999999994</v>
      </c>
      <c r="D27" s="43">
        <v>10.18</v>
      </c>
      <c r="E27" s="43">
        <v>11.23</v>
      </c>
      <c r="F27" s="1" t="str">
        <f>HYPERLINK("http://www.ncbi.nlm.nih.gov/pubmed/?term=Actb","Actb")</f>
        <v>Actb</v>
      </c>
    </row>
    <row r="28" spans="1:6" x14ac:dyDescent="0.25">
      <c r="A28" t="s">
        <v>86</v>
      </c>
      <c r="B28" t="s">
        <v>1384</v>
      </c>
      <c r="C28" s="22">
        <v>5.2489999999999997</v>
      </c>
      <c r="D28" s="25">
        <v>5.73</v>
      </c>
      <c r="E28" s="29">
        <v>6.5609999999999999</v>
      </c>
      <c r="F28" s="1" t="str">
        <f>HYPERLINK("http://www.ncbi.nlm.nih.gov/pubmed/?term=Iqgap1","Iqgap1")</f>
        <v>Iqgap1</v>
      </c>
    </row>
    <row r="29" spans="1:6" x14ac:dyDescent="0.25">
      <c r="A29" t="s">
        <v>1358</v>
      </c>
      <c r="B29" t="s">
        <v>93</v>
      </c>
      <c r="C29" s="12">
        <v>1.631</v>
      </c>
      <c r="D29" s="22">
        <v>5.2169999999999996</v>
      </c>
      <c r="E29" s="46">
        <v>8.82</v>
      </c>
      <c r="F29" s="1" t="str">
        <f>HYPERLINK("http://www.ncbi.nlm.nih.gov/pubmed/?term=Fgf21","Fgf21")</f>
        <v>Fgf21</v>
      </c>
    </row>
    <row r="30" spans="1:6" x14ac:dyDescent="0.25">
      <c r="A30" t="s">
        <v>1200</v>
      </c>
      <c r="B30" t="s">
        <v>295</v>
      </c>
      <c r="C30" s="12">
        <v>1.873</v>
      </c>
      <c r="D30" s="12">
        <v>1.946</v>
      </c>
      <c r="E30" s="32">
        <v>3.484</v>
      </c>
      <c r="F30" s="1" t="str">
        <f>HYPERLINK("http://www.ncbi.nlm.nih.gov/pubmed/?term=Itgal","Itgal")</f>
        <v>Itgal</v>
      </c>
    </row>
    <row r="31" spans="1:6" x14ac:dyDescent="0.25">
      <c r="A31" t="s">
        <v>2008</v>
      </c>
      <c r="B31" t="s">
        <v>1548</v>
      </c>
      <c r="C31" s="12">
        <v>1.6479999999999999</v>
      </c>
      <c r="D31" s="12">
        <v>2.121</v>
      </c>
      <c r="E31" s="48">
        <v>4.1719999999999997</v>
      </c>
      <c r="F31" s="1" t="str">
        <f>HYPERLINK("http://www.ncbi.nlm.nih.gov/pubmed/?term=Fgf13","Fgf13")</f>
        <v>Fgf13</v>
      </c>
    </row>
    <row r="32" spans="1:6" x14ac:dyDescent="0.25">
      <c r="A32" t="s">
        <v>98</v>
      </c>
      <c r="B32" t="s">
        <v>1600</v>
      </c>
      <c r="C32" s="48">
        <v>3.8929999999999998</v>
      </c>
      <c r="D32" s="25">
        <v>6.1340000000000003</v>
      </c>
      <c r="E32" s="24">
        <v>8.032</v>
      </c>
      <c r="F32" s="1" t="str">
        <f>HYPERLINK("http://www.ncbi.nlm.nih.gov/pubmed/?term=Msn","Msn")</f>
        <v>Msn</v>
      </c>
    </row>
    <row r="33" spans="1:6" x14ac:dyDescent="0.25">
      <c r="A33" t="s">
        <v>333</v>
      </c>
      <c r="B33" t="s">
        <v>1460</v>
      </c>
      <c r="C33" s="26">
        <v>0.44829999999999998</v>
      </c>
      <c r="D33" s="12">
        <v>2.1360000000000001</v>
      </c>
      <c r="E33" s="48">
        <v>3.8809999999999998</v>
      </c>
      <c r="F33" s="1" t="str">
        <f>HYPERLINK("http://www.ncbi.nlm.nih.gov/pubmed/?term=Pik3cb","Pik3cb")</f>
        <v>Pik3cb</v>
      </c>
    </row>
    <row r="34" spans="1:6" x14ac:dyDescent="0.25">
      <c r="A34" t="s">
        <v>674</v>
      </c>
      <c r="B34" t="s">
        <v>1949</v>
      </c>
      <c r="C34" s="32">
        <v>2.6110000000000002</v>
      </c>
      <c r="D34" s="48">
        <v>4.2789999999999999</v>
      </c>
      <c r="E34" s="29">
        <v>6.8239999999999998</v>
      </c>
      <c r="F34" s="1" t="str">
        <f>HYPERLINK("http://www.ncbi.nlm.nih.gov/pubmed/?term=Rac2","Rac2")</f>
        <v>Rac2</v>
      </c>
    </row>
    <row r="35" spans="1:6" x14ac:dyDescent="0.25">
      <c r="A35" t="s">
        <v>563</v>
      </c>
      <c r="B35" t="s">
        <v>1292</v>
      </c>
      <c r="C35" s="26">
        <v>-1.407</v>
      </c>
      <c r="D35" s="20">
        <v>1.4219999999999999</v>
      </c>
      <c r="E35" s="48">
        <v>4.0460000000000003</v>
      </c>
      <c r="F35" s="1" t="str">
        <f>HYPERLINK("http://www.ncbi.nlm.nih.gov/pubmed/?term=Bdkrb1","Bdkrb1")</f>
        <v>Bdkrb1</v>
      </c>
    </row>
    <row r="36" spans="1:6" x14ac:dyDescent="0.25">
      <c r="A36" t="s">
        <v>590</v>
      </c>
      <c r="B36" t="s">
        <v>1295</v>
      </c>
      <c r="C36" s="46">
        <v>9.3330000000000002</v>
      </c>
      <c r="D36" s="43">
        <v>10.01</v>
      </c>
      <c r="E36" s="43">
        <v>10.89</v>
      </c>
      <c r="F36" s="1" t="str">
        <f>HYPERLINK("http://www.ncbi.nlm.nih.gov/pubmed/?term=Tmsb4x","Tmsb4x")</f>
        <v>Tmsb4x</v>
      </c>
    </row>
    <row r="37" spans="1:6" x14ac:dyDescent="0.25">
      <c r="A37" t="s">
        <v>1442</v>
      </c>
      <c r="B37" t="s">
        <v>560</v>
      </c>
      <c r="C37" s="22">
        <v>4.5259999999999998</v>
      </c>
      <c r="D37" s="25">
        <v>5.5670000000000002</v>
      </c>
      <c r="E37" s="48">
        <v>4.2619999999999996</v>
      </c>
      <c r="F37" s="1" t="str">
        <f>HYPERLINK("http://www.ncbi.nlm.nih.gov/pubmed/?term=Tiam1","Tiam1")</f>
        <v>Tiam1</v>
      </c>
    </row>
    <row r="38" spans="1:6" x14ac:dyDescent="0.25">
      <c r="A38" t="s">
        <v>1642</v>
      </c>
      <c r="B38" t="s">
        <v>1770</v>
      </c>
      <c r="C38" s="22">
        <v>5.0229999999999997</v>
      </c>
      <c r="D38" s="25">
        <v>5.766</v>
      </c>
      <c r="E38" s="48">
        <v>3.9350000000000001</v>
      </c>
      <c r="F38" s="1" t="str">
        <f>HYPERLINK("http://www.ncbi.nlm.nih.gov/pubmed/?term=Limk2","Limk2")</f>
        <v>Limk2</v>
      </c>
    </row>
    <row r="39" spans="1:6" x14ac:dyDescent="0.25">
      <c r="A39" t="s">
        <v>1471</v>
      </c>
      <c r="B39" t="s">
        <v>801</v>
      </c>
      <c r="C39" s="22">
        <v>4.6050000000000004</v>
      </c>
      <c r="D39" s="25">
        <v>5.6079999999999997</v>
      </c>
      <c r="E39" s="48">
        <v>4.2160000000000002</v>
      </c>
      <c r="F39" s="1" t="str">
        <f>HYPERLINK("http://www.ncbi.nlm.nih.gov/pubmed/?term=Vcl","Vcl")</f>
        <v>Vcl</v>
      </c>
    </row>
    <row r="40" spans="1:6" x14ac:dyDescent="0.25">
      <c r="A40" t="s">
        <v>1334</v>
      </c>
      <c r="B40" t="s">
        <v>5</v>
      </c>
      <c r="C40" s="32">
        <v>3.4769999999999999</v>
      </c>
      <c r="D40" s="48">
        <v>3.6840000000000002</v>
      </c>
      <c r="E40" s="32">
        <v>2.5219999999999998</v>
      </c>
      <c r="F40" s="1" t="str">
        <f>HYPERLINK("http://www.ncbi.nlm.nih.gov/pubmed/?term=Sos1","Sos1")</f>
        <v>Sos1</v>
      </c>
    </row>
    <row r="41" spans="1:6" x14ac:dyDescent="0.25">
      <c r="A41" t="s">
        <v>534</v>
      </c>
      <c r="B41" t="s">
        <v>1534</v>
      </c>
      <c r="C41" s="48">
        <v>3.738</v>
      </c>
      <c r="D41" s="22">
        <v>4.6950000000000003</v>
      </c>
      <c r="E41" s="32">
        <v>3.3279999999999998</v>
      </c>
      <c r="F41" s="1" t="str">
        <f>HYPERLINK("http://www.ncbi.nlm.nih.gov/pubmed/?term=Vav3","Vav3")</f>
        <v>Vav3</v>
      </c>
    </row>
    <row r="42" spans="1:6" x14ac:dyDescent="0.25">
      <c r="A42" t="s">
        <v>1899</v>
      </c>
      <c r="B42" t="s">
        <v>1438</v>
      </c>
      <c r="C42" s="48">
        <v>3.7309999999999999</v>
      </c>
      <c r="D42" s="25">
        <v>5.7539999999999996</v>
      </c>
      <c r="E42" s="20">
        <v>0.61119999999999997</v>
      </c>
      <c r="F42" s="1" t="str">
        <f>HYPERLINK("http://www.ncbi.nlm.nih.gov/pubmed/?term=Myl9","Myl9")</f>
        <v>Myl9</v>
      </c>
    </row>
    <row r="43" spans="1:6" x14ac:dyDescent="0.25">
      <c r="A43" t="s">
        <v>1351</v>
      </c>
      <c r="B43" t="s">
        <v>654</v>
      </c>
      <c r="C43" s="32">
        <v>3.36</v>
      </c>
      <c r="D43" s="48">
        <v>3.6749999999999998</v>
      </c>
      <c r="E43" s="12">
        <v>2.1040000000000001</v>
      </c>
      <c r="F43" s="1" t="str">
        <f>HYPERLINK("http://www.ncbi.nlm.nih.gov/pubmed/?term=Ppp1r12b","Ppp1r12b")</f>
        <v>Ppp1r12b</v>
      </c>
    </row>
    <row r="44" spans="1:6" x14ac:dyDescent="0.25">
      <c r="A44" t="s">
        <v>846</v>
      </c>
      <c r="B44" t="s">
        <v>2071</v>
      </c>
      <c r="C44" s="48">
        <v>3.79</v>
      </c>
      <c r="D44" s="26">
        <v>0.25290000000000001</v>
      </c>
      <c r="E44" s="26">
        <v>-1.006</v>
      </c>
      <c r="F44" s="1" t="str">
        <f>HYPERLINK("http://www.ncbi.nlm.nih.gov/pubmed/?term=Itgb7","Itgb7")</f>
        <v>Itgb7</v>
      </c>
    </row>
    <row r="45" spans="1:6" x14ac:dyDescent="0.25">
      <c r="A45" t="s">
        <v>1223</v>
      </c>
      <c r="B45" t="s">
        <v>760</v>
      </c>
      <c r="C45" s="48">
        <v>4.4809999999999999</v>
      </c>
      <c r="D45" s="48">
        <v>3.556</v>
      </c>
      <c r="E45" s="32">
        <v>3.1720000000000002</v>
      </c>
      <c r="F45" s="1" t="str">
        <f>HYPERLINK("http://www.ncbi.nlm.nih.gov/pubmed/?term=Apc","Apc")</f>
        <v>Apc</v>
      </c>
    </row>
    <row r="46" spans="1:6" x14ac:dyDescent="0.25">
      <c r="A46" t="s">
        <v>1733</v>
      </c>
      <c r="B46" t="s">
        <v>1829</v>
      </c>
      <c r="C46" s="48">
        <v>3.9809999999999999</v>
      </c>
      <c r="D46" s="32">
        <v>3.1789999999999998</v>
      </c>
      <c r="E46" s="32">
        <v>2.843</v>
      </c>
      <c r="F46" s="1" t="str">
        <f>HYPERLINK("http://www.ncbi.nlm.nih.gov/pubmed/?term=Crkl","Crkl")</f>
        <v>Crkl</v>
      </c>
    </row>
    <row r="47" spans="1:6" x14ac:dyDescent="0.25">
      <c r="A47" t="s">
        <v>145</v>
      </c>
      <c r="B47" t="s">
        <v>772</v>
      </c>
      <c r="C47" s="29">
        <v>7.319</v>
      </c>
      <c r="D47" s="25">
        <v>6.4249999999999998</v>
      </c>
      <c r="E47" s="25">
        <v>6.0250000000000004</v>
      </c>
      <c r="F47" s="1" t="str">
        <f>HYPERLINK("http://www.ncbi.nlm.nih.gov/pubmed/?term=Arpc2","Arpc2")</f>
        <v>Arpc2</v>
      </c>
    </row>
    <row r="48" spans="1:6" x14ac:dyDescent="0.25">
      <c r="A48" t="s">
        <v>641</v>
      </c>
      <c r="B48" t="s">
        <v>346</v>
      </c>
      <c r="C48" s="25">
        <v>5.5090000000000003</v>
      </c>
      <c r="D48" s="22">
        <v>4.79</v>
      </c>
      <c r="E48" s="48">
        <v>4.3810000000000002</v>
      </c>
      <c r="F48" s="1" t="str">
        <f>HYPERLINK("http://www.ncbi.nlm.nih.gov/pubmed/?term=Crk","Crk")</f>
        <v>Crk</v>
      </c>
    </row>
    <row r="49" spans="1:6" x14ac:dyDescent="0.25">
      <c r="A49" t="s">
        <v>1444</v>
      </c>
      <c r="B49" t="s">
        <v>1417</v>
      </c>
      <c r="C49" s="22">
        <v>4.7190000000000003</v>
      </c>
      <c r="D49" s="48">
        <v>4.1989999999999998</v>
      </c>
      <c r="E49" s="32">
        <v>2.794</v>
      </c>
      <c r="F49" s="1" t="str">
        <f>HYPERLINK("http://www.ncbi.nlm.nih.gov/pubmed/?term=Egfr","Egfr")</f>
        <v>Egfr</v>
      </c>
    </row>
    <row r="50" spans="1:6" x14ac:dyDescent="0.25">
      <c r="A50" t="s">
        <v>1410</v>
      </c>
      <c r="B50" t="s">
        <v>470</v>
      </c>
      <c r="C50" s="48">
        <v>3.907</v>
      </c>
      <c r="D50" s="32">
        <v>3.4430000000000001</v>
      </c>
      <c r="E50" s="32">
        <v>2.746</v>
      </c>
      <c r="F50" s="1" t="str">
        <f>HYPERLINK("http://www.ncbi.nlm.nih.gov/pubmed/?term=Rock2","Rock2")</f>
        <v>Rock2</v>
      </c>
    </row>
    <row r="51" spans="1:6" x14ac:dyDescent="0.25">
      <c r="A51" t="s">
        <v>1408</v>
      </c>
      <c r="B51" t="s">
        <v>782</v>
      </c>
      <c r="C51" s="48">
        <v>4.3209999999999997</v>
      </c>
      <c r="D51" s="12">
        <v>1.758</v>
      </c>
      <c r="E51" s="12">
        <v>1.5389999999999999</v>
      </c>
      <c r="F51" s="1" t="str">
        <f>HYPERLINK("http://www.ncbi.nlm.nih.gov/pubmed/?term=Myh10","Myh10")</f>
        <v>Myh10</v>
      </c>
    </row>
    <row r="52" spans="1:6" x14ac:dyDescent="0.25">
      <c r="A52" t="s">
        <v>2110</v>
      </c>
      <c r="B52" t="s">
        <v>1847</v>
      </c>
      <c r="C52" s="48">
        <v>4.1589999999999998</v>
      </c>
      <c r="D52" s="32">
        <v>2.9319999999999999</v>
      </c>
      <c r="E52" s="12">
        <v>2.4969999999999999</v>
      </c>
      <c r="F52" s="1" t="str">
        <f>HYPERLINK("http://www.ncbi.nlm.nih.gov/pubmed/?term=Abi2","Abi2")</f>
        <v>Abi2</v>
      </c>
    </row>
    <row r="53" spans="1:6" x14ac:dyDescent="0.25">
      <c r="A53" t="s">
        <v>729</v>
      </c>
      <c r="B53" t="s">
        <v>669</v>
      </c>
      <c r="C53" s="25">
        <v>6.31</v>
      </c>
      <c r="D53" s="22">
        <v>5.4569999999999999</v>
      </c>
      <c r="E53" s="22">
        <v>5.1189999999999998</v>
      </c>
      <c r="F53" s="1" t="str">
        <f>HYPERLINK("http://www.ncbi.nlm.nih.gov/pubmed/?term=Nckap1","Nckap1")</f>
        <v>Nckap1</v>
      </c>
    </row>
    <row r="54" spans="1:6" x14ac:dyDescent="0.25">
      <c r="A54" t="s">
        <v>1670</v>
      </c>
      <c r="B54" t="s">
        <v>1148</v>
      </c>
      <c r="C54" s="25">
        <v>6.226</v>
      </c>
      <c r="D54" s="25">
        <v>5.8049999999999997</v>
      </c>
      <c r="E54" s="12">
        <v>2.2450000000000001</v>
      </c>
      <c r="F54" s="1" t="str">
        <f>HYPERLINK("http://www.ncbi.nlm.nih.gov/pubmed/?term=Fgfr2","Fgfr2")</f>
        <v>Fgfr2</v>
      </c>
    </row>
    <row r="55" spans="1:6" x14ac:dyDescent="0.25">
      <c r="A55" t="s">
        <v>1205</v>
      </c>
      <c r="B55" t="s">
        <v>1329</v>
      </c>
      <c r="C55" s="25">
        <v>5.6820000000000004</v>
      </c>
      <c r="D55" s="22">
        <v>5.0220000000000002</v>
      </c>
      <c r="E55" s="22">
        <v>4.7060000000000004</v>
      </c>
      <c r="F55" s="1" t="str">
        <f>HYPERLINK("http://www.ncbi.nlm.nih.gov/pubmed/?term=Pik3r2","Pik3r2")</f>
        <v>Pik3r2</v>
      </c>
    </row>
    <row r="56" spans="1:6" x14ac:dyDescent="0.25">
      <c r="A56" t="s">
        <v>1022</v>
      </c>
      <c r="B56" t="s">
        <v>2202</v>
      </c>
      <c r="C56" s="48">
        <v>3.524</v>
      </c>
      <c r="D56" s="48">
        <v>3.5110000000000001</v>
      </c>
      <c r="E56" s="12">
        <v>2.1949999999999998</v>
      </c>
      <c r="F56" s="1" t="str">
        <f>HYPERLINK("http://www.ncbi.nlm.nih.gov/pubmed/?term=Bcar1","Bcar1")</f>
        <v>Bcar1</v>
      </c>
    </row>
    <row r="57" spans="1:6" x14ac:dyDescent="0.25">
      <c r="A57" t="s">
        <v>420</v>
      </c>
      <c r="B57" t="s">
        <v>450</v>
      </c>
      <c r="C57" s="25">
        <v>5.782</v>
      </c>
      <c r="D57" s="22">
        <v>5.0259999999999998</v>
      </c>
      <c r="E57" s="48">
        <v>4.3049999999999997</v>
      </c>
      <c r="F57" s="1" t="str">
        <f>HYPERLINK("http://www.ncbi.nlm.nih.gov/pubmed/?term=Rdx","Rdx")</f>
        <v>Rdx</v>
      </c>
    </row>
    <row r="58" spans="1:6" x14ac:dyDescent="0.25">
      <c r="A58" t="s">
        <v>329</v>
      </c>
      <c r="B58" t="s">
        <v>54</v>
      </c>
      <c r="C58" s="22">
        <v>5.2060000000000004</v>
      </c>
      <c r="D58" s="22">
        <v>4.9320000000000004</v>
      </c>
      <c r="E58" s="48">
        <v>4.3140000000000001</v>
      </c>
      <c r="F58" s="1" t="str">
        <f>HYPERLINK("http://www.ncbi.nlm.nih.gov/pubmed/?term=Gng12","Gng12")</f>
        <v>Gng12</v>
      </c>
    </row>
    <row r="59" spans="1:6" x14ac:dyDescent="0.25">
      <c r="A59" t="s">
        <v>948</v>
      </c>
      <c r="B59" t="s">
        <v>829</v>
      </c>
      <c r="C59" s="25">
        <v>5.7649999999999997</v>
      </c>
      <c r="D59" s="25">
        <v>5.5519999999999996</v>
      </c>
      <c r="E59" s="48">
        <v>3.9569999999999999</v>
      </c>
      <c r="F59" s="1" t="str">
        <f>HYPERLINK("http://www.ncbi.nlm.nih.gov/pubmed/?term=Rras","Rras")</f>
        <v>Rras</v>
      </c>
    </row>
    <row r="60" spans="1:6" x14ac:dyDescent="0.25">
      <c r="A60" t="s">
        <v>731</v>
      </c>
      <c r="B60" t="s">
        <v>1330</v>
      </c>
      <c r="C60" s="22">
        <v>4.9180000000000001</v>
      </c>
      <c r="D60" s="22">
        <v>4.8079999999999998</v>
      </c>
      <c r="E60" s="48">
        <v>3.7410000000000001</v>
      </c>
      <c r="F60" s="1" t="str">
        <f>HYPERLINK("http://www.ncbi.nlm.nih.gov/pubmed/?term=Pik3r1","Pik3r1")</f>
        <v>Pik3r1</v>
      </c>
    </row>
    <row r="61" spans="1:6" x14ac:dyDescent="0.25">
      <c r="A61" t="s">
        <v>414</v>
      </c>
      <c r="B61" t="s">
        <v>236</v>
      </c>
      <c r="C61" s="32">
        <v>3.4340000000000002</v>
      </c>
      <c r="D61" s="20">
        <v>1.3480000000000001</v>
      </c>
      <c r="E61" s="20">
        <v>0.87639999999999996</v>
      </c>
      <c r="F61" s="1" t="str">
        <f>HYPERLINK("http://www.ncbi.nlm.nih.gov/pubmed/?term=Fgf11","Fgf11")</f>
        <v>Fgf11</v>
      </c>
    </row>
    <row r="62" spans="1:6" x14ac:dyDescent="0.25">
      <c r="A62" t="s">
        <v>372</v>
      </c>
      <c r="B62" t="s">
        <v>269</v>
      </c>
      <c r="C62" s="48">
        <v>4.2910000000000004</v>
      </c>
      <c r="D62" s="32">
        <v>2.972</v>
      </c>
      <c r="E62" s="20">
        <v>1.03</v>
      </c>
      <c r="F62" s="1" t="str">
        <f>HYPERLINK("http://www.ncbi.nlm.nih.gov/pubmed/?term=F2r","F2r")</f>
        <v>F2r</v>
      </c>
    </row>
    <row r="63" spans="1:6" x14ac:dyDescent="0.25">
      <c r="A63" t="s">
        <v>94</v>
      </c>
      <c r="B63" t="s">
        <v>605</v>
      </c>
      <c r="C63" s="32">
        <v>3.35</v>
      </c>
      <c r="D63" s="32">
        <v>2.903</v>
      </c>
      <c r="E63" s="12">
        <v>2.153</v>
      </c>
      <c r="F63" s="1" t="str">
        <f>HYPERLINK("http://www.ncbi.nlm.nih.gov/pubmed/?term=Rras2","Rras2")</f>
        <v>Rras2</v>
      </c>
    </row>
    <row r="64" spans="1:6" x14ac:dyDescent="0.25">
      <c r="A64" t="s">
        <v>1918</v>
      </c>
      <c r="B64" t="s">
        <v>881</v>
      </c>
      <c r="C64" s="48">
        <v>4.2149999999999999</v>
      </c>
      <c r="D64" s="48">
        <v>3.6960000000000002</v>
      </c>
      <c r="E64" s="12">
        <v>2.4860000000000002</v>
      </c>
      <c r="F64" s="1" t="str">
        <f>HYPERLINK("http://www.ncbi.nlm.nih.gov/pubmed/?term=Grlf1","Grlf1")</f>
        <v>Grlf1</v>
      </c>
    </row>
    <row r="65" spans="1:6" x14ac:dyDescent="0.25">
      <c r="A65" t="s">
        <v>1641</v>
      </c>
      <c r="B65" t="s">
        <v>708</v>
      </c>
      <c r="C65" s="22">
        <v>4.92</v>
      </c>
      <c r="D65" s="32">
        <v>3.3980000000000001</v>
      </c>
      <c r="E65" s="32">
        <v>3.2280000000000002</v>
      </c>
      <c r="F65" s="1" t="str">
        <f>HYPERLINK("http://www.ncbi.nlm.nih.gov/pubmed/?term=Dock1","Dock1")</f>
        <v>Dock1</v>
      </c>
    </row>
    <row r="66" spans="1:6" x14ac:dyDescent="0.25">
      <c r="A66" t="s">
        <v>1663</v>
      </c>
      <c r="B66" t="s">
        <v>2084</v>
      </c>
      <c r="C66" s="22">
        <v>4.7439999999999998</v>
      </c>
      <c r="D66" s="48">
        <v>4.2359999999999998</v>
      </c>
      <c r="E66" s="48">
        <v>3.5880000000000001</v>
      </c>
      <c r="F66" s="1" t="str">
        <f>HYPERLINK("http://www.ncbi.nlm.nih.gov/pubmed/?term=Arhgef12","Arhgef12")</f>
        <v>Arhgef12</v>
      </c>
    </row>
    <row r="67" spans="1:6" x14ac:dyDescent="0.25">
      <c r="A67" t="s">
        <v>452</v>
      </c>
      <c r="B67" t="s">
        <v>1740</v>
      </c>
      <c r="C67" s="25">
        <v>5.5750000000000002</v>
      </c>
      <c r="D67" s="48">
        <v>4.0350000000000001</v>
      </c>
      <c r="E67" s="12">
        <v>2.4390000000000001</v>
      </c>
      <c r="F67" s="1" t="str">
        <f>HYPERLINK("http://www.ncbi.nlm.nih.gov/pubmed/?term=Cfl2","Cfl2")</f>
        <v>Cfl2</v>
      </c>
    </row>
    <row r="68" spans="1:6" x14ac:dyDescent="0.25">
      <c r="A68" t="s">
        <v>1819</v>
      </c>
      <c r="B68" t="s">
        <v>1948</v>
      </c>
      <c r="C68" s="25">
        <v>6.0519999999999996</v>
      </c>
      <c r="D68" s="25">
        <v>5.57</v>
      </c>
      <c r="E68" s="24">
        <v>7.7460000000000004</v>
      </c>
      <c r="F68" s="1" t="str">
        <f>HYPERLINK("http://www.ncbi.nlm.nih.gov/pubmed/?term=Actn3","Actn3")</f>
        <v>Actn3</v>
      </c>
    </row>
    <row r="69" spans="1:6" x14ac:dyDescent="0.25">
      <c r="A69" t="s">
        <v>807</v>
      </c>
      <c r="B69" t="s">
        <v>1950</v>
      </c>
      <c r="C69" s="22">
        <v>5.1239999999999997</v>
      </c>
      <c r="D69" s="32">
        <v>3.4119999999999999</v>
      </c>
      <c r="E69" s="22">
        <v>5.2290000000000001</v>
      </c>
      <c r="F69" s="1" t="str">
        <f>HYPERLINK("http://www.ncbi.nlm.nih.gov/pubmed/?term=Rac3","Rac3")</f>
        <v>Rac3</v>
      </c>
    </row>
    <row r="70" spans="1:6" x14ac:dyDescent="0.25">
      <c r="A70" t="s">
        <v>169</v>
      </c>
      <c r="B70" t="s">
        <v>89</v>
      </c>
      <c r="C70" s="22">
        <v>4.556</v>
      </c>
      <c r="D70" s="48">
        <v>4.26</v>
      </c>
      <c r="E70" s="25">
        <v>6.1230000000000002</v>
      </c>
      <c r="F70" s="1" t="str">
        <f>HYPERLINK("http://www.ncbi.nlm.nih.gov/pubmed/?term=Mras","Mras")</f>
        <v>Mras</v>
      </c>
    </row>
    <row r="71" spans="1:6" x14ac:dyDescent="0.25">
      <c r="A71" t="s">
        <v>624</v>
      </c>
      <c r="B71" t="s">
        <v>544</v>
      </c>
      <c r="C71" s="32">
        <v>3.173</v>
      </c>
      <c r="D71" s="32">
        <v>2.7869999999999999</v>
      </c>
      <c r="E71" s="48">
        <v>4.141</v>
      </c>
      <c r="F71" s="1" t="str">
        <f>HYPERLINK("http://www.ncbi.nlm.nih.gov/pubmed/?term=Ssh1","Ssh1")</f>
        <v>Ssh1</v>
      </c>
    </row>
    <row r="72" spans="1:6" x14ac:dyDescent="0.25">
      <c r="A72" t="s">
        <v>1660</v>
      </c>
      <c r="B72" t="s">
        <v>2069</v>
      </c>
      <c r="C72" s="48">
        <v>3.8090000000000002</v>
      </c>
      <c r="D72" s="26">
        <v>-1.27</v>
      </c>
      <c r="E72" s="26">
        <v>-1.117</v>
      </c>
      <c r="F72" s="1" t="str">
        <f>HYPERLINK("http://www.ncbi.nlm.nih.gov/pubmed/?term=Itgb2","Itgb2")</f>
        <v>Itgb2</v>
      </c>
    </row>
    <row r="73" spans="1:6" x14ac:dyDescent="0.25">
      <c r="A73" t="s">
        <v>159</v>
      </c>
      <c r="B73" t="s">
        <v>1644</v>
      </c>
      <c r="C73" s="29">
        <v>6.5579999999999998</v>
      </c>
      <c r="D73" s="22">
        <v>4.7640000000000002</v>
      </c>
      <c r="E73" s="22">
        <v>5.4039999999999999</v>
      </c>
      <c r="F73" s="1" t="str">
        <f>HYPERLINK("http://www.ncbi.nlm.nih.gov/pubmed/?term=Map2k1","Map2k1")</f>
        <v>Map2k1</v>
      </c>
    </row>
    <row r="74" spans="1:6" x14ac:dyDescent="0.25">
      <c r="A74" t="s">
        <v>2112</v>
      </c>
      <c r="B74" t="s">
        <v>1385</v>
      </c>
      <c r="C74" s="22">
        <v>5.1420000000000003</v>
      </c>
      <c r="D74" s="20">
        <v>1.232</v>
      </c>
      <c r="E74" s="12">
        <v>2.169</v>
      </c>
      <c r="F74" s="1" t="str">
        <f>HYPERLINK("http://www.ncbi.nlm.nih.gov/pubmed/?term=Iqgap2","Iqgap2")</f>
        <v>Iqgap2</v>
      </c>
    </row>
    <row r="75" spans="1:6" x14ac:dyDescent="0.25">
      <c r="A75" t="s">
        <v>839</v>
      </c>
      <c r="B75" t="s">
        <v>1858</v>
      </c>
      <c r="C75" s="22">
        <v>4.83</v>
      </c>
      <c r="D75" s="12">
        <v>1.522</v>
      </c>
      <c r="E75" s="12">
        <v>1.887</v>
      </c>
      <c r="F75" s="1" t="str">
        <f>HYPERLINK("http://www.ncbi.nlm.nih.gov/pubmed/?term=Mylk","Mylk")</f>
        <v>Mylk</v>
      </c>
    </row>
    <row r="76" spans="1:6" x14ac:dyDescent="0.25">
      <c r="A76" t="s">
        <v>1203</v>
      </c>
      <c r="B76" t="s">
        <v>737</v>
      </c>
      <c r="C76" s="22">
        <v>5.0419999999999998</v>
      </c>
      <c r="D76" s="32">
        <v>3.0350000000000001</v>
      </c>
      <c r="E76" s="48">
        <v>3.9169999999999998</v>
      </c>
      <c r="F76" s="1" t="str">
        <f>HYPERLINK("http://www.ncbi.nlm.nih.gov/pubmed/?term=Baiap2","Baiap2")</f>
        <v>Baiap2</v>
      </c>
    </row>
    <row r="77" spans="1:6" x14ac:dyDescent="0.25">
      <c r="A77" t="s">
        <v>920</v>
      </c>
      <c r="B77" t="s">
        <v>239</v>
      </c>
      <c r="C77" s="29">
        <v>6.7590000000000003</v>
      </c>
      <c r="D77" s="12">
        <v>1.976</v>
      </c>
      <c r="E77" s="48">
        <v>3.9089999999999998</v>
      </c>
      <c r="F77" s="1" t="str">
        <f>HYPERLINK("http://www.ncbi.nlm.nih.gov/pubmed/?term=Fgf14","Fgf14")</f>
        <v>Fgf14</v>
      </c>
    </row>
    <row r="78" spans="1:6" x14ac:dyDescent="0.25">
      <c r="A78" t="s">
        <v>1029</v>
      </c>
      <c r="B78" t="s">
        <v>1277</v>
      </c>
      <c r="C78" s="29">
        <v>6.9329999999999998</v>
      </c>
      <c r="D78" s="32">
        <v>3.0720000000000001</v>
      </c>
      <c r="E78" s="48">
        <v>4.2380000000000004</v>
      </c>
      <c r="F78" s="1" t="str">
        <f>HYPERLINK("http://www.ncbi.nlm.nih.gov/pubmed/?term=Fn1","Fn1")</f>
        <v>Fn1</v>
      </c>
    </row>
    <row r="79" spans="1:6" x14ac:dyDescent="0.25">
      <c r="A79" t="s">
        <v>989</v>
      </c>
      <c r="B79" t="s">
        <v>761</v>
      </c>
      <c r="C79" s="22">
        <v>5.3520000000000003</v>
      </c>
      <c r="D79" s="48">
        <v>3.9340000000000002</v>
      </c>
      <c r="E79" s="48">
        <v>4.4850000000000003</v>
      </c>
      <c r="F79" s="1" t="str">
        <f>HYPERLINK("http://www.ncbi.nlm.nih.gov/pubmed/?term=Pip4k2a","Pip4k2a")</f>
        <v>Pip4k2a</v>
      </c>
    </row>
    <row r="80" spans="1:6" x14ac:dyDescent="0.25">
      <c r="A80" t="s">
        <v>1009</v>
      </c>
      <c r="B80" t="s">
        <v>1708</v>
      </c>
      <c r="C80" s="25">
        <v>6.0330000000000004</v>
      </c>
      <c r="D80" s="48">
        <v>4.226</v>
      </c>
      <c r="E80" s="22">
        <v>5.3419999999999996</v>
      </c>
      <c r="F80" s="1" t="str">
        <f>HYPERLINK("http://www.ncbi.nlm.nih.gov/pubmed/?term=Pfn2","Pfn2")</f>
        <v>Pfn2</v>
      </c>
    </row>
    <row r="81" spans="1:6" x14ac:dyDescent="0.25">
      <c r="A81" t="s">
        <v>1967</v>
      </c>
      <c r="B81" t="s">
        <v>898</v>
      </c>
      <c r="C81" s="22">
        <v>5.2279999999999998</v>
      </c>
      <c r="D81" s="48">
        <v>3.9319999999999999</v>
      </c>
      <c r="E81" s="48">
        <v>4.4470000000000001</v>
      </c>
      <c r="F81" s="1" t="str">
        <f>HYPERLINK("http://www.ncbi.nlm.nih.gov/pubmed/?term=Kras","Kras")</f>
        <v>Kras</v>
      </c>
    </row>
    <row r="82" spans="1:6" x14ac:dyDescent="0.25">
      <c r="A82" t="s">
        <v>783</v>
      </c>
      <c r="B82" t="s">
        <v>27</v>
      </c>
      <c r="C82" s="29">
        <v>7.1360000000000001</v>
      </c>
      <c r="D82" s="25">
        <v>5.8879999999999999</v>
      </c>
      <c r="E82" s="29">
        <v>6.8680000000000003</v>
      </c>
      <c r="F82" s="1" t="str">
        <f>HYPERLINK("http://www.ncbi.nlm.nih.gov/pubmed/?term=Ezr","Ezr")</f>
        <v>Ezr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2035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274</v>
      </c>
      <c r="B5" t="s">
        <v>516</v>
      </c>
      <c r="C5" s="33">
        <v>5.0279999999999996</v>
      </c>
      <c r="D5" s="2">
        <v>6.77</v>
      </c>
      <c r="E5" s="2">
        <v>6.6440000000000001</v>
      </c>
      <c r="F5" s="1" t="str">
        <f>HYPERLINK("http://www.ncbi.nlm.nih.gov/pubmed/?term=Shisa5","Shisa5")</f>
        <v>Shisa5</v>
      </c>
    </row>
    <row r="6" spans="1:6" x14ac:dyDescent="0.25">
      <c r="A6" t="s">
        <v>853</v>
      </c>
      <c r="B6" t="s">
        <v>1990</v>
      </c>
      <c r="C6" s="26">
        <v>2.0140000000000002E-2</v>
      </c>
      <c r="D6" s="33">
        <v>5.3710000000000004</v>
      </c>
      <c r="E6" s="22">
        <v>4.4320000000000004</v>
      </c>
      <c r="F6" s="1" t="str">
        <f>HYPERLINK("http://www.ncbi.nlm.nih.gov/pubmed/?term=Ccnd1","Ccnd1")</f>
        <v>Ccnd1</v>
      </c>
    </row>
    <row r="7" spans="1:6" x14ac:dyDescent="0.25">
      <c r="A7" t="s">
        <v>1657</v>
      </c>
      <c r="B7" t="s">
        <v>1991</v>
      </c>
      <c r="C7" s="33">
        <v>5.4219999999999997</v>
      </c>
      <c r="D7" s="33">
        <v>5.4290000000000003</v>
      </c>
      <c r="E7" s="2">
        <v>6.6429999999999998</v>
      </c>
      <c r="F7" s="1" t="str">
        <f>HYPERLINK("http://www.ncbi.nlm.nih.gov/pubmed/?term=Ccnd2","Ccnd2")</f>
        <v>Ccnd2</v>
      </c>
    </row>
    <row r="8" spans="1:6" x14ac:dyDescent="0.25">
      <c r="A8" t="s">
        <v>538</v>
      </c>
      <c r="B8" t="s">
        <v>1263</v>
      </c>
      <c r="C8" s="33">
        <v>5.3659999999999997</v>
      </c>
      <c r="D8" s="33">
        <v>5.4429999999999996</v>
      </c>
      <c r="E8" s="2">
        <v>7.1589999999999998</v>
      </c>
      <c r="F8" s="1" t="str">
        <f>HYPERLINK("http://www.ncbi.nlm.nih.gov/pubmed/?term=Bax","Bax")</f>
        <v>Bax</v>
      </c>
    </row>
    <row r="9" spans="1:6" x14ac:dyDescent="0.25">
      <c r="A9" t="s">
        <v>908</v>
      </c>
      <c r="B9" t="s">
        <v>2136</v>
      </c>
      <c r="C9" s="22">
        <v>3.778</v>
      </c>
      <c r="D9" s="33">
        <v>5.0129999999999999</v>
      </c>
      <c r="E9" s="2">
        <v>7.056</v>
      </c>
      <c r="F9" s="1" t="str">
        <f>HYPERLINK("http://www.ncbi.nlm.nih.gov/pubmed/?term=Gadd45b","Gadd45b")</f>
        <v>Gadd45b</v>
      </c>
    </row>
    <row r="10" spans="1:6" x14ac:dyDescent="0.25">
      <c r="A10" t="s">
        <v>1291</v>
      </c>
      <c r="B10" t="s">
        <v>681</v>
      </c>
      <c r="C10" s="26">
        <v>-1.431</v>
      </c>
      <c r="D10" s="18">
        <v>2.6589999999999998</v>
      </c>
      <c r="E10" s="33">
        <v>4.5880000000000001</v>
      </c>
      <c r="F10" s="1" t="str">
        <f>HYPERLINK("http://www.ncbi.nlm.nih.gov/pubmed/?term=Igf1","Igf1")</f>
        <v>Igf1</v>
      </c>
    </row>
    <row r="11" spans="1:6" x14ac:dyDescent="0.25">
      <c r="A11" t="s">
        <v>567</v>
      </c>
      <c r="B11" t="s">
        <v>1580</v>
      </c>
      <c r="C11" s="22">
        <v>3.569</v>
      </c>
      <c r="D11" s="45">
        <v>5.556</v>
      </c>
      <c r="E11" s="45">
        <v>6.1470000000000002</v>
      </c>
      <c r="F11" s="1" t="str">
        <f>HYPERLINK("http://www.ncbi.nlm.nih.gov/pubmed/?term=Cdkn1a","Cdkn1a")</f>
        <v>Cdkn1a</v>
      </c>
    </row>
    <row r="12" spans="1:6" x14ac:dyDescent="0.25">
      <c r="A12" t="s">
        <v>206</v>
      </c>
      <c r="B12" t="s">
        <v>1856</v>
      </c>
      <c r="C12" s="26">
        <v>-1.103</v>
      </c>
      <c r="D12" s="22">
        <v>3.819</v>
      </c>
      <c r="E12" s="22">
        <v>3.9089999999999998</v>
      </c>
      <c r="F12" s="1" t="str">
        <f>HYPERLINK("http://www.ncbi.nlm.nih.gov/pubmed/?term=Pmaip1","Pmaip1")</f>
        <v>Pmaip1</v>
      </c>
    </row>
    <row r="13" spans="1:6" x14ac:dyDescent="0.25">
      <c r="A13" t="s">
        <v>986</v>
      </c>
      <c r="B13" t="s">
        <v>2073</v>
      </c>
      <c r="C13" s="23">
        <v>2.4039999999999999</v>
      </c>
      <c r="D13" s="22">
        <v>4.0590000000000002</v>
      </c>
      <c r="E13" s="45">
        <v>6.069</v>
      </c>
      <c r="F13" s="1" t="str">
        <f>HYPERLINK("http://www.ncbi.nlm.nih.gov/pubmed/?term=Fas","Fas")</f>
        <v>Fas</v>
      </c>
    </row>
    <row r="14" spans="1:6" x14ac:dyDescent="0.25">
      <c r="A14" t="s">
        <v>1502</v>
      </c>
      <c r="B14" t="s">
        <v>2129</v>
      </c>
      <c r="C14" s="45">
        <v>6.3259999999999996</v>
      </c>
      <c r="D14" s="43">
        <v>7.6559999999999997</v>
      </c>
      <c r="E14" s="43">
        <v>8.7360000000000007</v>
      </c>
      <c r="F14" s="1" t="str">
        <f>HYPERLINK("http://www.ncbi.nlm.nih.gov/pubmed/?term=Cd82","Cd82")</f>
        <v>Cd82</v>
      </c>
    </row>
    <row r="15" spans="1:6" x14ac:dyDescent="0.25">
      <c r="A15" t="s">
        <v>604</v>
      </c>
      <c r="B15" t="s">
        <v>261</v>
      </c>
      <c r="C15" s="18">
        <v>3.4369999999999998</v>
      </c>
      <c r="D15" s="22">
        <v>3.847</v>
      </c>
      <c r="E15" s="33">
        <v>4.84</v>
      </c>
      <c r="F15" s="1" t="str">
        <f>HYPERLINK("http://www.ncbi.nlm.nih.gov/pubmed/?term=Ccng2","Ccng2")</f>
        <v>Ccng2</v>
      </c>
    </row>
    <row r="16" spans="1:6" x14ac:dyDescent="0.25">
      <c r="A16" t="s">
        <v>707</v>
      </c>
      <c r="B16" t="s">
        <v>1198</v>
      </c>
      <c r="C16" s="26">
        <v>-0.31469999999999998</v>
      </c>
      <c r="D16" s="18">
        <v>3.1179999999999999</v>
      </c>
      <c r="E16" s="22">
        <v>3.6549999999999998</v>
      </c>
      <c r="F16" s="1" t="str">
        <f>HYPERLINK("http://www.ncbi.nlm.nih.gov/pubmed/?term=Serpine1","Serpine1")</f>
        <v>Serpine1</v>
      </c>
    </row>
    <row r="17" spans="1:6" x14ac:dyDescent="0.25">
      <c r="A17" t="s">
        <v>823</v>
      </c>
      <c r="B17" t="s">
        <v>1992</v>
      </c>
      <c r="C17" s="26">
        <v>-2.1560000000000001</v>
      </c>
      <c r="D17" s="18">
        <v>3.274</v>
      </c>
      <c r="E17" s="22">
        <v>3.9910000000000001</v>
      </c>
      <c r="F17" s="1" t="str">
        <f>HYPERLINK("http://www.ncbi.nlm.nih.gov/pubmed/?term=Cdkn2a","Cdkn2a")</f>
        <v>Cdkn2a</v>
      </c>
    </row>
    <row r="18" spans="1:6" x14ac:dyDescent="0.25">
      <c r="A18" t="s">
        <v>1288</v>
      </c>
      <c r="B18" t="s">
        <v>1890</v>
      </c>
      <c r="C18" s="26">
        <v>-2.351</v>
      </c>
      <c r="D18" s="13">
        <v>0.59499999999999997</v>
      </c>
      <c r="E18" s="33">
        <v>5.242</v>
      </c>
      <c r="F18" s="1" t="str">
        <f>HYPERLINK("http://www.ncbi.nlm.nih.gov/pubmed/?term=Rprm","Rprm")</f>
        <v>Rprm</v>
      </c>
    </row>
    <row r="19" spans="1:6" x14ac:dyDescent="0.25">
      <c r="A19" t="s">
        <v>173</v>
      </c>
      <c r="B19" t="s">
        <v>722</v>
      </c>
      <c r="C19" s="2">
        <v>6.7370000000000001</v>
      </c>
      <c r="D19" s="43">
        <v>7.6059999999999999</v>
      </c>
      <c r="E19" s="33">
        <v>5.2720000000000002</v>
      </c>
      <c r="F19" s="1" t="str">
        <f>HYPERLINK("http://www.ncbi.nlm.nih.gov/pubmed/?term=Perp","Perp")</f>
        <v>Perp</v>
      </c>
    </row>
    <row r="20" spans="1:6" x14ac:dyDescent="0.25">
      <c r="A20" t="s">
        <v>268</v>
      </c>
      <c r="B20" t="s">
        <v>933</v>
      </c>
      <c r="C20" s="33">
        <v>4.5030000000000001</v>
      </c>
      <c r="D20" s="18">
        <v>2.9630000000000001</v>
      </c>
      <c r="E20" s="26">
        <v>-0.29570000000000002</v>
      </c>
      <c r="F20" s="1" t="str">
        <f>HYPERLINK("http://www.ncbi.nlm.nih.gov/pubmed/?term=Igfbp3","Igfbp3")</f>
        <v>Igfbp3</v>
      </c>
    </row>
    <row r="21" spans="1:6" x14ac:dyDescent="0.25">
      <c r="A21" t="s">
        <v>319</v>
      </c>
      <c r="B21" t="s">
        <v>1214</v>
      </c>
      <c r="C21" s="45">
        <v>5.5659999999999998</v>
      </c>
      <c r="D21" s="33">
        <v>4.8719999999999999</v>
      </c>
      <c r="E21" s="22">
        <v>4.1989999999999998</v>
      </c>
      <c r="F21" s="1" t="str">
        <f>HYPERLINK("http://www.ncbi.nlm.nih.gov/pubmed/?term=Sesn3","Sesn3")</f>
        <v>Sesn3</v>
      </c>
    </row>
    <row r="22" spans="1:6" x14ac:dyDescent="0.25">
      <c r="A22" t="s">
        <v>202</v>
      </c>
      <c r="B22" t="s">
        <v>2177</v>
      </c>
      <c r="C22" s="22">
        <v>3.597</v>
      </c>
      <c r="D22" s="18">
        <v>2.89</v>
      </c>
      <c r="E22" s="23">
        <v>2.242</v>
      </c>
      <c r="F22" s="1" t="str">
        <f>HYPERLINK("http://www.ncbi.nlm.nih.gov/pubmed/?term=Siah1a","Siah1a")</f>
        <v>Siah1a</v>
      </c>
    </row>
    <row r="23" spans="1:6" x14ac:dyDescent="0.25">
      <c r="A23" t="s">
        <v>826</v>
      </c>
      <c r="B23" t="s">
        <v>168</v>
      </c>
      <c r="C23" s="23">
        <v>2.4809999999999999</v>
      </c>
      <c r="D23" s="23">
        <v>2.3159999999999998</v>
      </c>
      <c r="E23" s="22">
        <v>3.6549999999999998</v>
      </c>
      <c r="F23" s="1" t="str">
        <f>HYPERLINK("http://www.ncbi.nlm.nih.gov/pubmed/?term=Bbc3","Bbc3")</f>
        <v>Bbc3</v>
      </c>
    </row>
    <row r="24" spans="1:6" x14ac:dyDescent="0.25">
      <c r="A24" t="s">
        <v>1780</v>
      </c>
      <c r="B24" t="s">
        <v>313</v>
      </c>
      <c r="C24" s="33">
        <v>4.6130000000000004</v>
      </c>
      <c r="D24" s="22">
        <v>3.7010000000000001</v>
      </c>
      <c r="E24" s="45">
        <v>5.5919999999999996</v>
      </c>
      <c r="F24" s="1" t="str">
        <f>HYPERLINK("http://www.ncbi.nlm.nih.gov/pubmed/?term=Cdk1","Cdk1")</f>
        <v>Cdk1</v>
      </c>
    </row>
    <row r="25" spans="1:6" x14ac:dyDescent="0.25">
      <c r="A25" t="s">
        <v>133</v>
      </c>
      <c r="B25" t="s">
        <v>1453</v>
      </c>
      <c r="C25" s="33">
        <v>4.9180000000000001</v>
      </c>
      <c r="D25" s="33">
        <v>4.5679999999999996</v>
      </c>
      <c r="E25" s="45">
        <v>5.891</v>
      </c>
      <c r="F25" s="1" t="str">
        <f>HYPERLINK("http://www.ncbi.nlm.nih.gov/pubmed/?term=Mdm2","Mdm2")</f>
        <v>Mdm2</v>
      </c>
    </row>
    <row r="26" spans="1:6" x14ac:dyDescent="0.25">
      <c r="A26" t="s">
        <v>1669</v>
      </c>
      <c r="B26" t="s">
        <v>1338</v>
      </c>
      <c r="C26" s="18">
        <v>2.7559999999999998</v>
      </c>
      <c r="D26" s="23">
        <v>2.1379999999999999</v>
      </c>
      <c r="E26" s="18">
        <v>3.391</v>
      </c>
      <c r="F26" s="1" t="str">
        <f>HYPERLINK("http://www.ncbi.nlm.nih.gov/pubmed/?term=Zmat3","Zmat3")</f>
        <v>Zmat3</v>
      </c>
    </row>
    <row r="27" spans="1:6" x14ac:dyDescent="0.25">
      <c r="A27" t="s">
        <v>603</v>
      </c>
      <c r="B27" t="s">
        <v>1213</v>
      </c>
      <c r="C27" s="22">
        <v>3.5720000000000001</v>
      </c>
      <c r="D27" s="18">
        <v>2.5459999999999998</v>
      </c>
      <c r="E27" s="33">
        <v>4.8259999999999996</v>
      </c>
      <c r="F27" s="1" t="str">
        <f>HYPERLINK("http://www.ncbi.nlm.nih.gov/pubmed/?term=Sesn2","Sesn2")</f>
        <v>Sesn2</v>
      </c>
    </row>
    <row r="28" spans="1:6" x14ac:dyDescent="0.25">
      <c r="A28" t="s">
        <v>1129</v>
      </c>
      <c r="B28" t="s">
        <v>2135</v>
      </c>
      <c r="C28" s="33">
        <v>5.0090000000000003</v>
      </c>
      <c r="D28" s="22">
        <v>4.431</v>
      </c>
      <c r="E28" s="45">
        <v>6.2279999999999998</v>
      </c>
      <c r="F28" s="1" t="str">
        <f>HYPERLINK("http://www.ncbi.nlm.nih.gov/pubmed/?term=Gadd45a","Gadd45a")</f>
        <v>Gadd45a</v>
      </c>
    </row>
    <row r="29" spans="1:6" x14ac:dyDescent="0.25">
      <c r="A29" t="s">
        <v>739</v>
      </c>
      <c r="B29" t="s">
        <v>245</v>
      </c>
      <c r="C29" s="22">
        <v>4.01</v>
      </c>
      <c r="D29" s="22">
        <v>3.92</v>
      </c>
      <c r="E29" s="33">
        <v>5.03</v>
      </c>
      <c r="F29" s="1" t="str">
        <f>HYPERLINK("http://www.ncbi.nlm.nih.gov/pubmed/?term=Rfwd2","Rfwd2")</f>
        <v>Rfwd2</v>
      </c>
    </row>
    <row r="30" spans="1:6" x14ac:dyDescent="0.25">
      <c r="A30" t="s">
        <v>1032</v>
      </c>
      <c r="B30" t="s">
        <v>1694</v>
      </c>
      <c r="C30" s="22">
        <v>4.2779999999999996</v>
      </c>
      <c r="D30" s="18">
        <v>2.976</v>
      </c>
      <c r="E30" s="22">
        <v>4.327</v>
      </c>
      <c r="F30" s="1" t="str">
        <f>HYPERLINK("http://www.ncbi.nlm.nih.gov/pubmed/?term=Ccnb1","Ccnb1")</f>
        <v>Ccnb1</v>
      </c>
    </row>
    <row r="31" spans="1:6" x14ac:dyDescent="0.25">
      <c r="A31" t="s">
        <v>1573</v>
      </c>
      <c r="B31" t="s">
        <v>399</v>
      </c>
      <c r="C31" s="22">
        <v>4.01</v>
      </c>
      <c r="D31" s="23">
        <v>1.895</v>
      </c>
      <c r="E31" s="23">
        <v>2.0329999999999999</v>
      </c>
      <c r="F31" s="1" t="str">
        <f>HYPERLINK("http://www.ncbi.nlm.nih.gov/pubmed/?term=Bai1","Bai1")</f>
        <v>Bai1</v>
      </c>
    </row>
    <row r="32" spans="1:6" x14ac:dyDescent="0.25">
      <c r="A32" t="s">
        <v>21</v>
      </c>
      <c r="B32" t="s">
        <v>183</v>
      </c>
      <c r="C32" s="33">
        <v>4.7149999999999999</v>
      </c>
      <c r="D32" s="18">
        <v>3.07</v>
      </c>
      <c r="E32" s="18">
        <v>3.14</v>
      </c>
      <c r="F32" s="1" t="str">
        <f>HYPERLINK("http://www.ncbi.nlm.nih.gov/pubmed/?term=Sesn1","Sesn1")</f>
        <v>Sesn1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821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833</v>
      </c>
      <c r="B5" t="s">
        <v>2111</v>
      </c>
      <c r="C5" s="41">
        <v>4.1890000000000001</v>
      </c>
      <c r="D5" s="17">
        <v>5.2679999999999998</v>
      </c>
      <c r="E5" s="17">
        <v>4.7720000000000002</v>
      </c>
      <c r="F5" s="1" t="str">
        <f>HYPERLINK("http://www.ncbi.nlm.nih.gov/pubmed/?term=Ctsb","Ctsb")</f>
        <v>Ctsb</v>
      </c>
    </row>
    <row r="6" spans="1:6" x14ac:dyDescent="0.25">
      <c r="A6" t="s">
        <v>1208</v>
      </c>
      <c r="B6" t="s">
        <v>587</v>
      </c>
      <c r="C6" s="41">
        <v>3.6619999999999999</v>
      </c>
      <c r="D6" s="22">
        <v>5.7629999999999999</v>
      </c>
      <c r="E6" s="41">
        <v>4.4850000000000003</v>
      </c>
      <c r="F6" s="1" t="str">
        <f>HYPERLINK("http://www.ncbi.nlm.nih.gov/pubmed/?term=H2-T22","H2-T22")</f>
        <v>H2-T22</v>
      </c>
    </row>
    <row r="7" spans="1:6" x14ac:dyDescent="0.25">
      <c r="A7" t="s">
        <v>85</v>
      </c>
      <c r="B7" t="s">
        <v>1966</v>
      </c>
      <c r="C7" s="17">
        <v>4.7370000000000001</v>
      </c>
      <c r="D7" s="3">
        <v>8.1150000000000002</v>
      </c>
      <c r="E7" s="3">
        <v>7.9050000000000002</v>
      </c>
      <c r="F7" s="1" t="str">
        <f>HYPERLINK("http://www.ncbi.nlm.nih.gov/pubmed/?term=H2-Q6","H2-Q6")</f>
        <v>H2-Q6</v>
      </c>
    </row>
    <row r="8" spans="1:6" x14ac:dyDescent="0.25">
      <c r="A8" t="s">
        <v>850</v>
      </c>
      <c r="B8" t="s">
        <v>1615</v>
      </c>
      <c r="C8" s="17">
        <v>5.375</v>
      </c>
      <c r="D8" s="3">
        <v>7.7729999999999997</v>
      </c>
      <c r="E8" s="22">
        <v>6.2270000000000003</v>
      </c>
      <c r="F8" s="1" t="str">
        <f>HYPERLINK("http://www.ncbi.nlm.nih.gov/pubmed/?term=Hspa1b","Hspa1b")</f>
        <v>Hspa1b</v>
      </c>
    </row>
    <row r="9" spans="1:6" x14ac:dyDescent="0.25">
      <c r="A9" t="s">
        <v>1975</v>
      </c>
      <c r="B9" t="s">
        <v>1616</v>
      </c>
      <c r="C9" s="41">
        <v>4.4249999999999998</v>
      </c>
      <c r="D9" s="10">
        <v>6.9690000000000003</v>
      </c>
      <c r="E9" s="17">
        <v>5.39</v>
      </c>
      <c r="F9" s="1" t="str">
        <f>HYPERLINK("http://www.ncbi.nlm.nih.gov/pubmed/?term=Hspa1a","Hspa1a")</f>
        <v>Hspa1a</v>
      </c>
    </row>
    <row r="10" spans="1:6" x14ac:dyDescent="0.25">
      <c r="A10" t="s">
        <v>234</v>
      </c>
      <c r="B10" t="s">
        <v>799</v>
      </c>
      <c r="C10" s="3">
        <v>8.0500000000000007</v>
      </c>
      <c r="D10" s="3">
        <v>8.2680000000000007</v>
      </c>
      <c r="E10" s="45">
        <v>9.3420000000000005</v>
      </c>
      <c r="F10" s="1" t="str">
        <f>HYPERLINK("http://www.ncbi.nlm.nih.gov/pubmed/?term=Calr","Calr")</f>
        <v>Calr</v>
      </c>
    </row>
    <row r="11" spans="1:6" x14ac:dyDescent="0.25">
      <c r="A11" t="s">
        <v>926</v>
      </c>
      <c r="B11" t="s">
        <v>1104</v>
      </c>
      <c r="C11" s="41">
        <v>3.8570000000000002</v>
      </c>
      <c r="D11" s="17">
        <v>4.992</v>
      </c>
      <c r="E11" s="22">
        <v>5.6529999999999996</v>
      </c>
      <c r="F11" s="1" t="str">
        <f>HYPERLINK("http://www.ncbi.nlm.nih.gov/pubmed/?term=H2-M3","H2-M3")</f>
        <v>H2-M3</v>
      </c>
    </row>
    <row r="12" spans="1:6" x14ac:dyDescent="0.25">
      <c r="A12" t="s">
        <v>1861</v>
      </c>
      <c r="B12" t="s">
        <v>1105</v>
      </c>
      <c r="C12" s="41">
        <v>4.3949999999999996</v>
      </c>
      <c r="D12" s="10">
        <v>6.8019999999999996</v>
      </c>
      <c r="E12" s="10">
        <v>7.444</v>
      </c>
      <c r="F12" s="1" t="str">
        <f>HYPERLINK("http://www.ncbi.nlm.nih.gov/pubmed/?term=H2-M2","H2-M2")</f>
        <v>H2-M2</v>
      </c>
    </row>
    <row r="13" spans="1:6" x14ac:dyDescent="0.25">
      <c r="A13" t="s">
        <v>2026</v>
      </c>
      <c r="B13" t="s">
        <v>210</v>
      </c>
      <c r="C13" s="17">
        <v>4.617</v>
      </c>
      <c r="D13" s="10">
        <v>7.09</v>
      </c>
      <c r="E13" s="3">
        <v>8.0299999999999994</v>
      </c>
      <c r="F13" s="1" t="str">
        <f>HYPERLINK("http://www.ncbi.nlm.nih.gov/pubmed/?term=Psme1","Psme1")</f>
        <v>Psme1</v>
      </c>
    </row>
    <row r="14" spans="1:6" x14ac:dyDescent="0.25">
      <c r="A14" t="s">
        <v>656</v>
      </c>
      <c r="B14" t="s">
        <v>1049</v>
      </c>
      <c r="C14" s="26">
        <v>-1.929</v>
      </c>
      <c r="D14" s="38">
        <v>0.65049999999999997</v>
      </c>
      <c r="E14" s="41">
        <v>4.242</v>
      </c>
      <c r="F14" s="1" t="str">
        <f>HYPERLINK("http://www.ncbi.nlm.nih.gov/pubmed/?term=Tnf","Tnf")</f>
        <v>Tnf</v>
      </c>
    </row>
    <row r="15" spans="1:6" x14ac:dyDescent="0.25">
      <c r="A15" t="s">
        <v>1956</v>
      </c>
      <c r="B15" t="s">
        <v>1715</v>
      </c>
      <c r="C15" s="22">
        <v>5.9130000000000003</v>
      </c>
      <c r="D15" s="22">
        <v>5.9269999999999996</v>
      </c>
      <c r="E15" s="3">
        <v>8.0259999999999998</v>
      </c>
      <c r="F15" s="1" t="str">
        <f>HYPERLINK("http://www.ncbi.nlm.nih.gov/pubmed/?term=H2-DMb2","H2-DMb2")</f>
        <v>H2-DMb2</v>
      </c>
    </row>
    <row r="16" spans="1:6" x14ac:dyDescent="0.25">
      <c r="A16" t="s">
        <v>235</v>
      </c>
      <c r="B16" t="s">
        <v>1543</v>
      </c>
      <c r="C16" s="21">
        <v>1.6619999999999999</v>
      </c>
      <c r="D16" s="17">
        <v>5.0519999999999996</v>
      </c>
      <c r="E16" s="3">
        <v>7.556</v>
      </c>
      <c r="F16" s="1" t="str">
        <f>HYPERLINK("http://www.ncbi.nlm.nih.gov/pubmed/?term=Ctss","Ctss")</f>
        <v>Ctss</v>
      </c>
    </row>
    <row r="17" spans="1:6" x14ac:dyDescent="0.25">
      <c r="A17" t="s">
        <v>1491</v>
      </c>
      <c r="B17" t="s">
        <v>1428</v>
      </c>
      <c r="C17" s="26">
        <v>-0.41930000000000001</v>
      </c>
      <c r="D17" s="21">
        <v>2.2890000000000001</v>
      </c>
      <c r="E17" s="10">
        <v>6.6079999999999997</v>
      </c>
      <c r="F17" s="1" t="str">
        <f>HYPERLINK("http://www.ncbi.nlm.nih.gov/pubmed/?term=H2-Ob","H2-Ob")</f>
        <v>H2-Ob</v>
      </c>
    </row>
    <row r="18" spans="1:6" x14ac:dyDescent="0.25">
      <c r="A18" t="s">
        <v>1311</v>
      </c>
      <c r="B18" t="s">
        <v>1431</v>
      </c>
      <c r="C18" s="41">
        <v>4.4509999999999996</v>
      </c>
      <c r="D18" s="3">
        <v>8.4649999999999999</v>
      </c>
      <c r="E18" s="45">
        <v>8.5500000000000007</v>
      </c>
      <c r="F18" s="1" t="str">
        <f>HYPERLINK("http://www.ncbi.nlm.nih.gov/pubmed/?term=H2-Q7","H2-Q7")</f>
        <v>H2-Q7</v>
      </c>
    </row>
    <row r="19" spans="1:6" x14ac:dyDescent="0.25">
      <c r="A19" t="s">
        <v>1401</v>
      </c>
      <c r="B19" t="s">
        <v>591</v>
      </c>
      <c r="C19" s="16">
        <v>9.7219999999999995</v>
      </c>
      <c r="D19" s="16">
        <v>9.8309999999999995</v>
      </c>
      <c r="E19" s="43">
        <v>11.67</v>
      </c>
      <c r="F19" s="1" t="str">
        <f>HYPERLINK("http://www.ncbi.nlm.nih.gov/pubmed/?term=H2-Eb1","H2-Eb1")</f>
        <v>H2-Eb1</v>
      </c>
    </row>
    <row r="20" spans="1:6" x14ac:dyDescent="0.25">
      <c r="A20" t="s">
        <v>2169</v>
      </c>
      <c r="B20" t="s">
        <v>9</v>
      </c>
      <c r="C20" s="45">
        <v>9.3350000000000009</v>
      </c>
      <c r="D20" s="43">
        <v>11.7</v>
      </c>
      <c r="E20" s="43">
        <v>11.95</v>
      </c>
      <c r="F20" s="1" t="str">
        <f>HYPERLINK("http://www.ncbi.nlm.nih.gov/pubmed/?term=B2m","B2m")</f>
        <v>B2m</v>
      </c>
    </row>
    <row r="21" spans="1:6" x14ac:dyDescent="0.25">
      <c r="A21" t="s">
        <v>300</v>
      </c>
      <c r="B21" t="s">
        <v>809</v>
      </c>
      <c r="C21" s="45">
        <v>8.6720000000000006</v>
      </c>
      <c r="D21" s="16">
        <v>10.43</v>
      </c>
      <c r="E21" s="7">
        <v>10.72</v>
      </c>
      <c r="F21" s="1" t="str">
        <f>HYPERLINK("http://www.ncbi.nlm.nih.gov/pubmed/?term=H2-K1","H2-K1")</f>
        <v>H2-K1</v>
      </c>
    </row>
    <row r="22" spans="1:6" x14ac:dyDescent="0.25">
      <c r="A22" t="s">
        <v>216</v>
      </c>
      <c r="B22" t="s">
        <v>586</v>
      </c>
      <c r="C22" s="10">
        <v>6.7060000000000004</v>
      </c>
      <c r="D22" s="3">
        <v>7.649</v>
      </c>
      <c r="E22" s="3">
        <v>7.8150000000000004</v>
      </c>
      <c r="F22" s="1" t="str">
        <f>HYPERLINK("http://www.ncbi.nlm.nih.gov/pubmed/?term=H2-T23","H2-T23")</f>
        <v>H2-T23</v>
      </c>
    </row>
    <row r="23" spans="1:6" x14ac:dyDescent="0.25">
      <c r="A23" t="s">
        <v>2141</v>
      </c>
      <c r="B23" t="s">
        <v>157</v>
      </c>
      <c r="C23" s="21">
        <v>2.1930000000000001</v>
      </c>
      <c r="D23" s="41">
        <v>4.2409999999999997</v>
      </c>
      <c r="E23" s="17">
        <v>4.5410000000000004</v>
      </c>
      <c r="F23" s="1" t="str">
        <f>HYPERLINK("http://www.ncbi.nlm.nih.gov/pubmed/?term=H2-Q10","H2-Q10")</f>
        <v>H2-Q10</v>
      </c>
    </row>
    <row r="24" spans="1:6" x14ac:dyDescent="0.25">
      <c r="A24" t="s">
        <v>247</v>
      </c>
      <c r="B24" t="s">
        <v>265</v>
      </c>
      <c r="C24" s="3">
        <v>8.1630000000000003</v>
      </c>
      <c r="D24" s="16">
        <v>10.1</v>
      </c>
      <c r="E24" s="16">
        <v>10.33</v>
      </c>
      <c r="F24" s="1" t="str">
        <f>HYPERLINK("http://www.ncbi.nlm.nih.gov/pubmed/?term=H2-D1","H2-D1")</f>
        <v>H2-D1</v>
      </c>
    </row>
    <row r="25" spans="1:6" x14ac:dyDescent="0.25">
      <c r="A25" t="s">
        <v>645</v>
      </c>
      <c r="B25" t="s">
        <v>207</v>
      </c>
      <c r="C25" s="17">
        <v>4.7190000000000003</v>
      </c>
      <c r="D25" s="17">
        <v>5.1440000000000001</v>
      </c>
      <c r="E25" s="22">
        <v>6.3719999999999999</v>
      </c>
      <c r="F25" s="1" t="str">
        <f>HYPERLINK("http://www.ncbi.nlm.nih.gov/pubmed/?term=Psme2","Psme2")</f>
        <v>Psme2</v>
      </c>
    </row>
    <row r="26" spans="1:6" x14ac:dyDescent="0.25">
      <c r="A26" t="s">
        <v>1504</v>
      </c>
      <c r="B26" t="s">
        <v>1434</v>
      </c>
      <c r="C26" s="23">
        <v>3.0409999999999999</v>
      </c>
      <c r="D26" s="41">
        <v>3.6920000000000002</v>
      </c>
      <c r="E26" s="41">
        <v>3.9689999999999999</v>
      </c>
      <c r="F26" s="1" t="str">
        <f>HYPERLINK("http://www.ncbi.nlm.nih.gov/pubmed/?term=H2-Q2","H2-Q2")</f>
        <v>H2-Q2</v>
      </c>
    </row>
    <row r="27" spans="1:6" x14ac:dyDescent="0.25">
      <c r="A27" t="s">
        <v>1360</v>
      </c>
      <c r="B27" t="s">
        <v>1243</v>
      </c>
      <c r="C27" s="41">
        <v>4.4649999999999999</v>
      </c>
      <c r="D27" s="23">
        <v>3.4020000000000001</v>
      </c>
      <c r="E27" s="23">
        <v>3.242</v>
      </c>
      <c r="F27" s="1" t="str">
        <f>HYPERLINK("http://www.ncbi.nlm.nih.gov/pubmed/?term=Lgmn","Lgmn")</f>
        <v>Lgmn</v>
      </c>
    </row>
    <row r="28" spans="1:6" x14ac:dyDescent="0.25">
      <c r="A28" t="s">
        <v>1024</v>
      </c>
      <c r="B28" t="s">
        <v>1528</v>
      </c>
      <c r="C28" s="43">
        <v>12.53</v>
      </c>
      <c r="D28" s="45">
        <v>8.9949999999999992</v>
      </c>
      <c r="E28" s="22">
        <v>5.8230000000000004</v>
      </c>
      <c r="F28" s="1" t="str">
        <f>HYPERLINK("http://www.ncbi.nlm.nih.gov/pubmed/?term=Ctsl","Ctsl")</f>
        <v>Ctsl</v>
      </c>
    </row>
    <row r="29" spans="1:6" x14ac:dyDescent="0.25">
      <c r="A29" t="s">
        <v>1162</v>
      </c>
      <c r="B29" t="s">
        <v>1995</v>
      </c>
      <c r="C29" s="43">
        <v>11.64</v>
      </c>
      <c r="D29" s="7">
        <v>11.45</v>
      </c>
      <c r="E29">
        <v>0</v>
      </c>
      <c r="F29" s="1" t="str">
        <f>HYPERLINK("http://www.ncbi.nlm.nih.gov/pubmed/?term=Cd74","Cd74")</f>
        <v>Cd74</v>
      </c>
    </row>
    <row r="30" spans="1:6" x14ac:dyDescent="0.25">
      <c r="A30" t="s">
        <v>675</v>
      </c>
      <c r="B30" t="s">
        <v>1783</v>
      </c>
      <c r="C30" s="41">
        <v>3.9689999999999999</v>
      </c>
      <c r="D30" s="23">
        <v>2.8450000000000002</v>
      </c>
      <c r="E30" s="21">
        <v>1.974</v>
      </c>
      <c r="F30" s="1" t="str">
        <f>HYPERLINK("http://www.ncbi.nlm.nih.gov/pubmed/?term=Rfxap","Rfxap")</f>
        <v>Rfxap</v>
      </c>
    </row>
    <row r="31" spans="1:6" x14ac:dyDescent="0.25">
      <c r="A31" t="s">
        <v>1767</v>
      </c>
      <c r="B31" t="s">
        <v>100</v>
      </c>
      <c r="C31" s="41">
        <v>4.1340000000000003</v>
      </c>
      <c r="D31" s="26">
        <v>-0.39410000000000001</v>
      </c>
      <c r="E31" s="26">
        <v>-0.43059999999999998</v>
      </c>
      <c r="F31" s="1" t="str">
        <f>HYPERLINK("http://www.ncbi.nlm.nih.gov/pubmed/?term=Cd8b1","Cd8b1")</f>
        <v>Cd8b1</v>
      </c>
    </row>
    <row r="32" spans="1:6" x14ac:dyDescent="0.25">
      <c r="A32" t="s">
        <v>1437</v>
      </c>
      <c r="B32" t="s">
        <v>1636</v>
      </c>
      <c r="C32" s="41">
        <v>4.1340000000000003</v>
      </c>
      <c r="D32" s="26">
        <v>0.40960000000000002</v>
      </c>
      <c r="E32" s="26">
        <v>5.8040000000000001E-2</v>
      </c>
      <c r="F32" s="1" t="str">
        <f>HYPERLINK("http://www.ncbi.nlm.nih.gov/pubmed/?term=Cd8a","Cd8a")</f>
        <v>Cd8a</v>
      </c>
    </row>
    <row r="33" spans="1:6" x14ac:dyDescent="0.25">
      <c r="A33" t="s">
        <v>1581</v>
      </c>
      <c r="B33" t="s">
        <v>1376</v>
      </c>
      <c r="C33" s="26">
        <v>-0.12559999999999999</v>
      </c>
      <c r="D33" s="26">
        <v>-0.60250000000000004</v>
      </c>
      <c r="E33" s="26">
        <v>-3.992</v>
      </c>
      <c r="F33" s="1" t="str">
        <f>HYPERLINK("http://www.ncbi.nlm.nih.gov/pubmed/?term=Psme2b-ps","Psme2b-ps")</f>
        <v>Psme2b-ps</v>
      </c>
    </row>
    <row r="34" spans="1:6" x14ac:dyDescent="0.25">
      <c r="A34" t="s">
        <v>912</v>
      </c>
      <c r="B34" t="s">
        <v>2185</v>
      </c>
      <c r="C34" s="41">
        <v>4.0119999999999996</v>
      </c>
      <c r="D34" s="41">
        <v>3.7069999999999999</v>
      </c>
      <c r="E34" s="17">
        <v>5.1239999999999997</v>
      </c>
      <c r="F34" s="1" t="str">
        <f>HYPERLINK("http://www.ncbi.nlm.nih.gov/pubmed/?term=Rfx5","Rfx5")</f>
        <v>Rfx5</v>
      </c>
    </row>
    <row r="35" spans="1:6" x14ac:dyDescent="0.25">
      <c r="A35" t="s">
        <v>1066</v>
      </c>
      <c r="B35" t="s">
        <v>981</v>
      </c>
      <c r="C35" s="22">
        <v>5.7240000000000002</v>
      </c>
      <c r="D35" s="17">
        <v>4.8490000000000002</v>
      </c>
      <c r="E35" s="10">
        <v>6.8129999999999997</v>
      </c>
      <c r="F35" s="1" t="str">
        <f>HYPERLINK("http://www.ncbi.nlm.nih.gov/pubmed/?term=Ciita","Ciita")</f>
        <v>Ciita</v>
      </c>
    </row>
    <row r="36" spans="1:6" x14ac:dyDescent="0.25">
      <c r="A36" t="s">
        <v>1778</v>
      </c>
      <c r="B36" t="s">
        <v>1516</v>
      </c>
      <c r="C36" s="10">
        <v>7.14</v>
      </c>
      <c r="D36" s="10">
        <v>6.6779999999999999</v>
      </c>
      <c r="E36" s="3">
        <v>7.9409999999999998</v>
      </c>
      <c r="F36" s="1" t="str">
        <f>HYPERLINK("http://www.ncbi.nlm.nih.gov/pubmed/?term=Tapbp","Tapbp")</f>
        <v>Tapbp</v>
      </c>
    </row>
    <row r="37" spans="1:6" x14ac:dyDescent="0.25">
      <c r="A37" t="s">
        <v>1324</v>
      </c>
      <c r="B37" t="s">
        <v>1429</v>
      </c>
      <c r="C37" s="17">
        <v>5.2809999999999997</v>
      </c>
      <c r="D37" s="17">
        <v>5.2389999999999999</v>
      </c>
      <c r="E37" s="3">
        <v>8.2189999999999994</v>
      </c>
      <c r="F37" s="1" t="str">
        <f>HYPERLINK("http://www.ncbi.nlm.nih.gov/pubmed/?term=H2-Oa","H2-Oa")</f>
        <v>H2-Oa</v>
      </c>
    </row>
    <row r="38" spans="1:6" x14ac:dyDescent="0.25">
      <c r="A38" t="s">
        <v>1064</v>
      </c>
      <c r="B38" t="s">
        <v>1457</v>
      </c>
      <c r="C38" s="3">
        <v>7.9160000000000004</v>
      </c>
      <c r="D38" s="3">
        <v>7.7110000000000003</v>
      </c>
      <c r="E38" s="16">
        <v>9.58</v>
      </c>
      <c r="F38" s="1" t="str">
        <f>HYPERLINK("http://www.ncbi.nlm.nih.gov/pubmed/?term=Hspa5","Hspa5")</f>
        <v>Hspa5</v>
      </c>
    </row>
    <row r="39" spans="1:6" x14ac:dyDescent="0.25">
      <c r="A39" t="s">
        <v>1206</v>
      </c>
      <c r="B39" t="s">
        <v>1452</v>
      </c>
      <c r="C39" s="10">
        <v>6.69</v>
      </c>
      <c r="D39" s="22">
        <v>6.0819999999999999</v>
      </c>
      <c r="E39" s="3">
        <v>7.7649999999999997</v>
      </c>
      <c r="F39" s="1" t="str">
        <f>HYPERLINK("http://www.ncbi.nlm.nih.gov/pubmed/?term=Ifi30","Ifi30")</f>
        <v>Ifi30</v>
      </c>
    </row>
    <row r="40" spans="1:6" x14ac:dyDescent="0.25">
      <c r="A40" t="s">
        <v>528</v>
      </c>
      <c r="B40" t="s">
        <v>1739</v>
      </c>
      <c r="C40" s="16">
        <v>10.41</v>
      </c>
      <c r="D40" s="16">
        <v>10.1</v>
      </c>
      <c r="E40" s="43">
        <v>12.37</v>
      </c>
      <c r="F40" s="1" t="str">
        <f>HYPERLINK("http://www.ncbi.nlm.nih.gov/pubmed/?term=H2-Aa","H2-Aa")</f>
        <v>H2-Aa</v>
      </c>
    </row>
    <row r="41" spans="1:6" x14ac:dyDescent="0.25">
      <c r="A41" t="s">
        <v>1974</v>
      </c>
      <c r="B41" t="s">
        <v>1270</v>
      </c>
      <c r="C41" s="7">
        <v>10.67</v>
      </c>
      <c r="D41" s="16">
        <v>10.31</v>
      </c>
      <c r="E41" s="43">
        <v>12.36</v>
      </c>
      <c r="F41" s="1" t="str">
        <f>HYPERLINK("http://www.ncbi.nlm.nih.gov/pubmed/?term=H2-Ab1","H2-Ab1")</f>
        <v>H2-Ab1</v>
      </c>
    </row>
    <row r="42" spans="1:6" x14ac:dyDescent="0.25">
      <c r="A42" t="s">
        <v>1468</v>
      </c>
      <c r="B42" t="s">
        <v>1716</v>
      </c>
      <c r="C42" s="17">
        <v>5.3959999999999999</v>
      </c>
      <c r="D42" s="17">
        <v>5.0060000000000002</v>
      </c>
      <c r="E42" s="10">
        <v>6.9</v>
      </c>
      <c r="F42" s="1" t="str">
        <f>HYPERLINK("http://www.ncbi.nlm.nih.gov/pubmed/?term=H2-DMb1","H2-DMb1")</f>
        <v>H2-DMb1</v>
      </c>
    </row>
    <row r="43" spans="1:6" x14ac:dyDescent="0.25">
      <c r="A43" t="s">
        <v>710</v>
      </c>
      <c r="B43" t="s">
        <v>371</v>
      </c>
      <c r="C43" s="41">
        <v>3.7050000000000001</v>
      </c>
      <c r="D43" s="26">
        <v>-8.745E-2</v>
      </c>
      <c r="E43" s="23">
        <v>2.52</v>
      </c>
      <c r="F43" s="1" t="str">
        <f>HYPERLINK("http://www.ncbi.nlm.nih.gov/pubmed/?term=Cd4","Cd4")</f>
        <v>Cd4</v>
      </c>
    </row>
    <row r="44" spans="1:6" x14ac:dyDescent="0.25">
      <c r="A44" t="s">
        <v>865</v>
      </c>
      <c r="B44" t="s">
        <v>1044</v>
      </c>
      <c r="C44" s="10">
        <v>6.5350000000000001</v>
      </c>
      <c r="D44" s="17">
        <v>4.9409999999999998</v>
      </c>
      <c r="E44" s="22">
        <v>6.3239999999999998</v>
      </c>
      <c r="F44" s="1" t="str">
        <f>HYPERLINK("http://www.ncbi.nlm.nih.gov/pubmed/?term=H2-DMa","H2-DMa")</f>
        <v>H2-DMa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1140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120</v>
      </c>
      <c r="B5" t="s">
        <v>189</v>
      </c>
      <c r="C5" s="22">
        <v>2.8319999999999999</v>
      </c>
      <c r="D5" s="3">
        <v>4.4240000000000004</v>
      </c>
      <c r="E5" s="3">
        <v>4.3319999999999999</v>
      </c>
      <c r="F5" s="1" t="str">
        <f>HYPERLINK("http://www.ncbi.nlm.nih.gov/pubmed/?term=Notch1","Notch1")</f>
        <v>Notch1</v>
      </c>
    </row>
    <row r="6" spans="1:6" x14ac:dyDescent="0.25">
      <c r="A6" t="s">
        <v>705</v>
      </c>
      <c r="B6" t="s">
        <v>623</v>
      </c>
      <c r="C6" s="16">
        <v>4.6159999999999997</v>
      </c>
      <c r="D6" s="16">
        <v>4.9969999999999999</v>
      </c>
      <c r="E6" s="43">
        <v>6.2729999999999997</v>
      </c>
      <c r="F6" s="1" t="str">
        <f>HYPERLINK("http://www.ncbi.nlm.nih.gov/pubmed/?term=Etv6","Etv6")</f>
        <v>Etv6</v>
      </c>
    </row>
    <row r="7" spans="1:6" x14ac:dyDescent="0.25">
      <c r="A7" t="s">
        <v>609</v>
      </c>
      <c r="B7" t="s">
        <v>871</v>
      </c>
      <c r="C7" s="26">
        <v>-0.4471</v>
      </c>
      <c r="D7" s="41">
        <v>1.8009999999999999</v>
      </c>
      <c r="E7" s="3">
        <v>3.802</v>
      </c>
      <c r="F7" s="1" t="str">
        <f>HYPERLINK("http://www.ncbi.nlm.nih.gov/pubmed/?term=Piwil4","Piwil4")</f>
        <v>Piwil4</v>
      </c>
    </row>
    <row r="8" spans="1:6" x14ac:dyDescent="0.25">
      <c r="A8" t="s">
        <v>1444</v>
      </c>
      <c r="B8" t="s">
        <v>1417</v>
      </c>
      <c r="C8" s="16">
        <v>4.7190000000000003</v>
      </c>
      <c r="D8" s="3">
        <v>4.1989999999999998</v>
      </c>
      <c r="E8" s="22">
        <v>2.794</v>
      </c>
      <c r="F8" s="1" t="str">
        <f>HYPERLINK("http://www.ncbi.nlm.nih.gov/pubmed/?term=Egfr","Egfr")</f>
        <v>Egfr</v>
      </c>
    </row>
    <row r="9" spans="1:6" x14ac:dyDescent="0.25">
      <c r="A9" t="s">
        <v>1750</v>
      </c>
      <c r="B9" t="s">
        <v>2056</v>
      </c>
      <c r="C9" s="43">
        <v>5.8949999999999996</v>
      </c>
      <c r="D9" s="16">
        <v>5.3520000000000003</v>
      </c>
      <c r="E9" s="16">
        <v>4.8220000000000001</v>
      </c>
      <c r="F9" s="1" t="str">
        <f>HYPERLINK("http://www.ncbi.nlm.nih.gov/pubmed/?term=Ets2","Ets2")</f>
        <v>Ets2</v>
      </c>
    </row>
    <row r="10" spans="1:6" x14ac:dyDescent="0.25">
      <c r="A10" t="s">
        <v>1454</v>
      </c>
      <c r="B10" t="s">
        <v>2058</v>
      </c>
      <c r="C10" s="3">
        <v>4.2009999999999996</v>
      </c>
      <c r="D10" s="41">
        <v>2.427</v>
      </c>
      <c r="E10" s="21">
        <v>1.0369999999999999</v>
      </c>
      <c r="F10" s="1" t="str">
        <f>HYPERLINK("http://www.ncbi.nlm.nih.gov/pubmed/?term=Ets1","Ets1")</f>
        <v>Ets1</v>
      </c>
    </row>
    <row r="11" spans="1:6" x14ac:dyDescent="0.25">
      <c r="A11" t="s">
        <v>159</v>
      </c>
      <c r="B11" t="s">
        <v>1644</v>
      </c>
      <c r="C11" s="43">
        <v>6.5579999999999998</v>
      </c>
      <c r="D11" s="16">
        <v>4.7640000000000002</v>
      </c>
      <c r="E11" s="16">
        <v>5.4039999999999999</v>
      </c>
      <c r="F11" s="1" t="str">
        <f>HYPERLINK("http://www.ncbi.nlm.nih.gov/pubmed/?term=Map2k1","Map2k1")</f>
        <v>Map2k1</v>
      </c>
    </row>
    <row r="12" spans="1:6" x14ac:dyDescent="0.25">
      <c r="A12" t="s">
        <v>108</v>
      </c>
      <c r="B12" t="s">
        <v>443</v>
      </c>
      <c r="C12" s="3">
        <v>3.7759999999999998</v>
      </c>
      <c r="D12" s="26">
        <v>0.42059999999999997</v>
      </c>
      <c r="E12" s="41">
        <v>2.0670000000000002</v>
      </c>
      <c r="F12" s="1" t="str">
        <f>HYPERLINK("http://www.ncbi.nlm.nih.gov/pubmed/?term=Cpeb1","Cpeb1")</f>
        <v>Cpeb1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660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1449</v>
      </c>
      <c r="B5" t="s">
        <v>928</v>
      </c>
      <c r="C5" s="21">
        <v>0.52710000000000001</v>
      </c>
      <c r="D5" s="16">
        <v>4.5990000000000002</v>
      </c>
      <c r="E5" s="21">
        <v>0.57110000000000005</v>
      </c>
      <c r="F5" s="1" t="str">
        <f>HYPERLINK("http://www.ncbi.nlm.nih.gov/pubmed/?term=Aire","Aire")</f>
        <v>Aire</v>
      </c>
    </row>
    <row r="6" spans="1:6" x14ac:dyDescent="0.25">
      <c r="A6" t="s">
        <v>2145</v>
      </c>
      <c r="B6" t="s">
        <v>743</v>
      </c>
      <c r="C6" s="22">
        <v>2.806</v>
      </c>
      <c r="D6" s="22">
        <v>3.2530000000000001</v>
      </c>
      <c r="E6" s="43">
        <v>7.3730000000000002</v>
      </c>
      <c r="F6" s="1" t="str">
        <f>HYPERLINK("http://www.ncbi.nlm.nih.gov/pubmed/?term=Il2rg","Il2rg")</f>
        <v>Il2rg</v>
      </c>
    </row>
    <row r="7" spans="1:6" x14ac:dyDescent="0.25">
      <c r="A7" t="s">
        <v>1141</v>
      </c>
      <c r="B7" t="s">
        <v>946</v>
      </c>
      <c r="C7" s="26">
        <v>0.36049999999999999</v>
      </c>
      <c r="D7" s="16">
        <v>4.7919999999999998</v>
      </c>
      <c r="E7" s="43">
        <v>6.7489999999999997</v>
      </c>
      <c r="F7" s="1" t="str">
        <f>HYPERLINK("http://www.ncbi.nlm.nih.gov/pubmed/?term=Blnk","Blnk")</f>
        <v>Blnk</v>
      </c>
    </row>
    <row r="8" spans="1:6" x14ac:dyDescent="0.25">
      <c r="A8" t="s">
        <v>1803</v>
      </c>
      <c r="B8" t="s">
        <v>1393</v>
      </c>
      <c r="C8" s="16">
        <v>4.6040000000000001</v>
      </c>
      <c r="D8" s="41">
        <v>1.738</v>
      </c>
      <c r="E8" s="21">
        <v>1.3029999999999999</v>
      </c>
      <c r="F8" s="1" t="str">
        <f>HYPERLINK("http://www.ncbi.nlm.nih.gov/pubmed/?term=Lck","Lck")</f>
        <v>Lck</v>
      </c>
    </row>
    <row r="9" spans="1:6" x14ac:dyDescent="0.25">
      <c r="A9" t="s">
        <v>413</v>
      </c>
      <c r="B9" t="s">
        <v>571</v>
      </c>
      <c r="C9" s="3">
        <v>3.6440000000000001</v>
      </c>
      <c r="D9" s="41">
        <v>2.0840000000000001</v>
      </c>
      <c r="E9" s="26">
        <v>-0.11409999999999999</v>
      </c>
      <c r="F9" s="1" t="str">
        <f>HYPERLINK("http://www.ncbi.nlm.nih.gov/pubmed/?term=Ptprc","Ptprc")</f>
        <v>Ptprc</v>
      </c>
    </row>
    <row r="10" spans="1:6" x14ac:dyDescent="0.25">
      <c r="A10" t="s">
        <v>675</v>
      </c>
      <c r="B10" t="s">
        <v>1783</v>
      </c>
      <c r="C10" s="3">
        <v>3.9689999999999999</v>
      </c>
      <c r="D10" s="22">
        <v>2.8450000000000002</v>
      </c>
      <c r="E10" s="41">
        <v>1.974</v>
      </c>
      <c r="F10" s="1" t="str">
        <f>HYPERLINK("http://www.ncbi.nlm.nih.gov/pubmed/?term=Rfxap","Rfxap")</f>
        <v>Rfxap</v>
      </c>
    </row>
    <row r="11" spans="1:6" x14ac:dyDescent="0.25">
      <c r="A11" t="s">
        <v>1767</v>
      </c>
      <c r="B11" t="s">
        <v>100</v>
      </c>
      <c r="C11" s="3">
        <v>4.1340000000000003</v>
      </c>
      <c r="D11" s="26">
        <v>-0.39410000000000001</v>
      </c>
      <c r="E11" s="26">
        <v>-0.43059999999999998</v>
      </c>
      <c r="F11" s="1" t="str">
        <f>HYPERLINK("http://www.ncbi.nlm.nih.gov/pubmed/?term=Cd8b1","Cd8b1")</f>
        <v>Cd8b1</v>
      </c>
    </row>
    <row r="12" spans="1:6" x14ac:dyDescent="0.25">
      <c r="A12" t="s">
        <v>1437</v>
      </c>
      <c r="B12" t="s">
        <v>1636</v>
      </c>
      <c r="C12" s="3">
        <v>4.1340000000000003</v>
      </c>
      <c r="D12" s="26">
        <v>0.40960000000000002</v>
      </c>
      <c r="E12" s="26">
        <v>5.8040000000000001E-2</v>
      </c>
      <c r="F12" s="1" t="str">
        <f>HYPERLINK("http://www.ncbi.nlm.nih.gov/pubmed/?term=Cd8a","Cd8a")</f>
        <v>Cd8a</v>
      </c>
    </row>
    <row r="13" spans="1:6" x14ac:dyDescent="0.25">
      <c r="A13" t="s">
        <v>912</v>
      </c>
      <c r="B13" t="s">
        <v>2185</v>
      </c>
      <c r="C13" s="3">
        <v>4.0119999999999996</v>
      </c>
      <c r="D13" s="3">
        <v>3.7069999999999999</v>
      </c>
      <c r="E13" s="16">
        <v>5.1239999999999997</v>
      </c>
      <c r="F13" s="1" t="str">
        <f>HYPERLINK("http://www.ncbi.nlm.nih.gov/pubmed/?term=Rfx5","Rfx5")</f>
        <v>Rfx5</v>
      </c>
    </row>
    <row r="14" spans="1:6" x14ac:dyDescent="0.25">
      <c r="A14" t="s">
        <v>1753</v>
      </c>
      <c r="B14" t="s">
        <v>252</v>
      </c>
      <c r="C14" s="16">
        <v>4.8380000000000001</v>
      </c>
      <c r="D14" s="16">
        <v>4.8330000000000002</v>
      </c>
      <c r="E14" s="43">
        <v>7.3019999999999996</v>
      </c>
      <c r="F14" s="1" t="str">
        <f>HYPERLINK("http://www.ncbi.nlm.nih.gov/pubmed/?term=Cd40","Cd40")</f>
        <v>Cd40</v>
      </c>
    </row>
    <row r="15" spans="1:6" x14ac:dyDescent="0.25">
      <c r="A15" t="s">
        <v>1066</v>
      </c>
      <c r="B15" t="s">
        <v>981</v>
      </c>
      <c r="C15" s="43">
        <v>5.7240000000000002</v>
      </c>
      <c r="D15" s="16">
        <v>4.8490000000000002</v>
      </c>
      <c r="E15" s="43">
        <v>6.8129999999999997</v>
      </c>
      <c r="F15" s="1" t="str">
        <f>HYPERLINK("http://www.ncbi.nlm.nih.gov/pubmed/?term=Ciita","Ciita")</f>
        <v>Ciita</v>
      </c>
    </row>
    <row r="16" spans="1:6" x14ac:dyDescent="0.25">
      <c r="A16" t="s">
        <v>1443</v>
      </c>
      <c r="B16" t="s">
        <v>1813</v>
      </c>
      <c r="C16" s="16">
        <v>4.8929999999999998</v>
      </c>
      <c r="D16" s="21">
        <v>1.4059999999999999</v>
      </c>
      <c r="E16" s="22">
        <v>2.6459999999999999</v>
      </c>
      <c r="F16" s="1" t="str">
        <f>HYPERLINK("http://www.ncbi.nlm.nih.gov/pubmed/?term=Ada","Ada")</f>
        <v>Ada</v>
      </c>
    </row>
    <row r="17" spans="1:6" x14ac:dyDescent="0.25">
      <c r="A17" t="s">
        <v>710</v>
      </c>
      <c r="B17" t="s">
        <v>371</v>
      </c>
      <c r="C17" s="3">
        <v>3.7050000000000001</v>
      </c>
      <c r="D17" s="26">
        <v>-8.745E-2</v>
      </c>
      <c r="E17" s="22">
        <v>2.52</v>
      </c>
      <c r="F17" s="1" t="str">
        <f>HYPERLINK("http://www.ncbi.nlm.nih.gov/pubmed/?term=Cd4","Cd4")</f>
        <v>Cd4</v>
      </c>
    </row>
    <row r="18" spans="1:6" x14ac:dyDescent="0.25">
      <c r="A18" t="s">
        <v>785</v>
      </c>
      <c r="B18" t="s">
        <v>599</v>
      </c>
      <c r="C18" s="16">
        <v>4.819</v>
      </c>
      <c r="D18" s="26">
        <v>0.2029</v>
      </c>
      <c r="E18" s="26">
        <v>0.34110000000000001</v>
      </c>
      <c r="F18" s="1" t="str">
        <f>HYPERLINK("http://www.ncbi.nlm.nih.gov/pubmed/?term=Rag1","Rag1")</f>
        <v>Rag1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1149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2109</v>
      </c>
      <c r="B5" t="s">
        <v>422</v>
      </c>
      <c r="C5" s="12">
        <v>1.55</v>
      </c>
      <c r="D5" s="48">
        <v>3.9460000000000002</v>
      </c>
      <c r="E5" s="32">
        <v>3.4809999999999999</v>
      </c>
      <c r="F5" s="1" t="str">
        <f>HYPERLINK("http://www.ncbi.nlm.nih.gov/pubmed/?term=Mylpf","Mylpf")</f>
        <v>Mylpf</v>
      </c>
    </row>
    <row r="6" spans="1:6" x14ac:dyDescent="0.25">
      <c r="A6" t="s">
        <v>934</v>
      </c>
      <c r="B6" t="s">
        <v>214</v>
      </c>
      <c r="C6" s="22">
        <v>5.1150000000000002</v>
      </c>
      <c r="D6" s="25">
        <v>6.1420000000000003</v>
      </c>
      <c r="E6" s="25">
        <v>6.0039999999999996</v>
      </c>
      <c r="F6" s="1" t="str">
        <f>HYPERLINK("http://www.ncbi.nlm.nih.gov/pubmed/?term=Myl12b","Myl12b")</f>
        <v>Myl12b</v>
      </c>
    </row>
    <row r="7" spans="1:6" x14ac:dyDescent="0.25">
      <c r="A7" t="s">
        <v>1102</v>
      </c>
      <c r="B7" t="s">
        <v>1253</v>
      </c>
      <c r="C7" s="26">
        <v>-1.546</v>
      </c>
      <c r="D7" s="20">
        <v>0.9718</v>
      </c>
      <c r="E7" s="25">
        <v>5.7430000000000003</v>
      </c>
      <c r="F7" s="1" t="str">
        <f>HYPERLINK("http://www.ncbi.nlm.nih.gov/pubmed/?term=Cldn13","Cldn13")</f>
        <v>Cldn13</v>
      </c>
    </row>
    <row r="8" spans="1:6" x14ac:dyDescent="0.25">
      <c r="A8" t="s">
        <v>1754</v>
      </c>
      <c r="B8" t="s">
        <v>1555</v>
      </c>
      <c r="C8" s="26">
        <v>-0.63449999999999995</v>
      </c>
      <c r="D8" s="22">
        <v>5.0510000000000002</v>
      </c>
      <c r="E8" s="25">
        <v>6.3819999999999997</v>
      </c>
      <c r="F8" s="1" t="str">
        <f>HYPERLINK("http://www.ncbi.nlm.nih.gov/pubmed/?term=Cldn7","Cldn7")</f>
        <v>Cldn7</v>
      </c>
    </row>
    <row r="9" spans="1:6" x14ac:dyDescent="0.25">
      <c r="A9" t="s">
        <v>916</v>
      </c>
      <c r="B9" t="s">
        <v>1436</v>
      </c>
      <c r="C9" s="26">
        <v>-2.0179999999999998</v>
      </c>
      <c r="D9" s="12">
        <v>2.0539999999999998</v>
      </c>
      <c r="E9" s="32">
        <v>3.391</v>
      </c>
      <c r="F9" s="1" t="str">
        <f>HYPERLINK("http://www.ncbi.nlm.nih.gov/pubmed/?term=Myl7","Myl7")</f>
        <v>Myl7</v>
      </c>
    </row>
    <row r="10" spans="1:6" x14ac:dyDescent="0.25">
      <c r="A10" t="s">
        <v>2017</v>
      </c>
      <c r="B10" t="s">
        <v>1601</v>
      </c>
      <c r="C10" s="48">
        <v>4.33</v>
      </c>
      <c r="D10" s="48">
        <v>4.45</v>
      </c>
      <c r="E10" s="22">
        <v>5.46</v>
      </c>
      <c r="F10" s="1" t="str">
        <f>HYPERLINK("http://www.ncbi.nlm.nih.gov/pubmed/?term=Llgl2","Llgl2")</f>
        <v>Llgl2</v>
      </c>
    </row>
    <row r="11" spans="1:6" x14ac:dyDescent="0.25">
      <c r="A11" t="s">
        <v>463</v>
      </c>
      <c r="B11" t="s">
        <v>256</v>
      </c>
      <c r="C11" s="12">
        <v>1.8109999999999999</v>
      </c>
      <c r="D11" s="32">
        <v>2.8540000000000001</v>
      </c>
      <c r="E11" s="48">
        <v>4.3890000000000002</v>
      </c>
      <c r="F11" s="1" t="str">
        <f>HYPERLINK("http://www.ncbi.nlm.nih.gov/pubmed/?term=Ocln","Ocln")</f>
        <v>Ocln</v>
      </c>
    </row>
    <row r="12" spans="1:6" x14ac:dyDescent="0.25">
      <c r="A12" t="s">
        <v>2023</v>
      </c>
      <c r="B12" t="s">
        <v>897</v>
      </c>
      <c r="C12" s="48">
        <v>4.37</v>
      </c>
      <c r="D12" s="22">
        <v>5.0970000000000004</v>
      </c>
      <c r="E12" s="22">
        <v>5.4119999999999999</v>
      </c>
      <c r="F12" s="1" t="str">
        <f>HYPERLINK("http://www.ncbi.nlm.nih.gov/pubmed/?term=Hras1","Hras1")</f>
        <v>Hras1</v>
      </c>
    </row>
    <row r="13" spans="1:6" x14ac:dyDescent="0.25">
      <c r="A13" t="s">
        <v>1958</v>
      </c>
      <c r="B13" t="s">
        <v>1965</v>
      </c>
      <c r="C13" s="22">
        <v>4.9290000000000003</v>
      </c>
      <c r="D13" s="22">
        <v>5.2320000000000002</v>
      </c>
      <c r="E13" s="25">
        <v>6.2359999999999998</v>
      </c>
      <c r="F13" s="1" t="str">
        <f>HYPERLINK("http://www.ncbi.nlm.nih.gov/pubmed/?term=Src","Src")</f>
        <v>Src</v>
      </c>
    </row>
    <row r="14" spans="1:6" x14ac:dyDescent="0.25">
      <c r="A14" t="s">
        <v>2195</v>
      </c>
      <c r="B14" t="s">
        <v>1912</v>
      </c>
      <c r="C14" s="43">
        <v>9.7509999999999994</v>
      </c>
      <c r="D14" s="43">
        <v>10.18</v>
      </c>
      <c r="E14" s="43">
        <v>11.23</v>
      </c>
      <c r="F14" s="1" t="str">
        <f>HYPERLINK("http://www.ncbi.nlm.nih.gov/pubmed/?term=Actb","Actb")</f>
        <v>Actb</v>
      </c>
    </row>
    <row r="15" spans="1:6" x14ac:dyDescent="0.25">
      <c r="A15" t="s">
        <v>1587</v>
      </c>
      <c r="B15" t="s">
        <v>1729</v>
      </c>
      <c r="C15" s="26">
        <v>-0.91559999999999997</v>
      </c>
      <c r="D15" s="48">
        <v>4.0819999999999999</v>
      </c>
      <c r="E15" s="25">
        <v>5.6550000000000002</v>
      </c>
      <c r="F15" s="1" t="str">
        <f>HYPERLINK("http://www.ncbi.nlm.nih.gov/pubmed/?term=Tjp3","Tjp3")</f>
        <v>Tjp3</v>
      </c>
    </row>
    <row r="16" spans="1:6" x14ac:dyDescent="0.25">
      <c r="A16" t="s">
        <v>1578</v>
      </c>
      <c r="B16" t="s">
        <v>465</v>
      </c>
      <c r="C16" s="22">
        <v>4.6289999999999996</v>
      </c>
      <c r="D16" s="25">
        <v>6.3</v>
      </c>
      <c r="E16" s="29">
        <v>6.7530000000000001</v>
      </c>
      <c r="F16" s="1" t="str">
        <f>HYPERLINK("http://www.ncbi.nlm.nih.gov/pubmed/?term=F11r","F11r")</f>
        <v>F11r</v>
      </c>
    </row>
    <row r="17" spans="1:6" x14ac:dyDescent="0.25">
      <c r="A17" t="s">
        <v>176</v>
      </c>
      <c r="B17" t="s">
        <v>720</v>
      </c>
      <c r="C17" s="26">
        <v>-1.2649999999999999</v>
      </c>
      <c r="D17" s="32">
        <v>3.0960000000000001</v>
      </c>
      <c r="E17" s="48">
        <v>4.359</v>
      </c>
      <c r="F17" s="1" t="str">
        <f>HYPERLINK("http://www.ncbi.nlm.nih.gov/pubmed/?term=Crb3","Crb3")</f>
        <v>Crb3</v>
      </c>
    </row>
    <row r="18" spans="1:6" x14ac:dyDescent="0.25">
      <c r="A18" t="s">
        <v>818</v>
      </c>
      <c r="B18" t="s">
        <v>1696</v>
      </c>
      <c r="C18" s="12">
        <v>2.157</v>
      </c>
      <c r="D18" s="32">
        <v>3.266</v>
      </c>
      <c r="E18" s="22">
        <v>5.1760000000000002</v>
      </c>
      <c r="F18" s="1" t="str">
        <f>HYPERLINK("http://www.ncbi.nlm.nih.gov/pubmed/?term=Magi1","Magi1")</f>
        <v>Magi1</v>
      </c>
    </row>
    <row r="19" spans="1:6" x14ac:dyDescent="0.25">
      <c r="A19" t="s">
        <v>112</v>
      </c>
      <c r="B19" t="s">
        <v>1554</v>
      </c>
      <c r="C19" s="20">
        <v>0.80320000000000003</v>
      </c>
      <c r="D19" s="22">
        <v>5.2430000000000003</v>
      </c>
      <c r="E19" s="29">
        <v>7.34</v>
      </c>
      <c r="F19" s="1" t="str">
        <f>HYPERLINK("http://www.ncbi.nlm.nih.gov/pubmed/?term=Cldn4","Cldn4")</f>
        <v>Cldn4</v>
      </c>
    </row>
    <row r="20" spans="1:6" x14ac:dyDescent="0.25">
      <c r="A20" t="s">
        <v>166</v>
      </c>
      <c r="B20" t="s">
        <v>1553</v>
      </c>
      <c r="C20" s="26">
        <v>-2.06</v>
      </c>
      <c r="D20" s="22">
        <v>4.6829999999999998</v>
      </c>
      <c r="E20" s="25">
        <v>5.657</v>
      </c>
      <c r="F20" s="1" t="str">
        <f>HYPERLINK("http://www.ncbi.nlm.nih.gov/pubmed/?term=Cldn3","Cldn3")</f>
        <v>Cldn3</v>
      </c>
    </row>
    <row r="21" spans="1:6" x14ac:dyDescent="0.25">
      <c r="A21" t="s">
        <v>1939</v>
      </c>
      <c r="B21" t="s">
        <v>223</v>
      </c>
      <c r="C21" s="26">
        <v>-4.8719999999999999</v>
      </c>
      <c r="D21" s="26">
        <v>-1.74</v>
      </c>
      <c r="E21" s="32">
        <v>3.3929999999999998</v>
      </c>
      <c r="F21" s="1" t="str">
        <f>HYPERLINK("http://www.ncbi.nlm.nih.gov/pubmed/?term=Myh15","Myh15")</f>
        <v>Myh15</v>
      </c>
    </row>
    <row r="22" spans="1:6" x14ac:dyDescent="0.25">
      <c r="A22" t="s">
        <v>1952</v>
      </c>
      <c r="B22" t="s">
        <v>1467</v>
      </c>
      <c r="C22" s="48">
        <v>4.3129999999999997</v>
      </c>
      <c r="D22" s="48">
        <v>4.3860000000000001</v>
      </c>
      <c r="E22" s="32">
        <v>2.931</v>
      </c>
      <c r="F22" s="1" t="str">
        <f>HYPERLINK("http://www.ncbi.nlm.nih.gov/pubmed/?term=B230120H23Rik","B230120H23Rik")</f>
        <v>B230120H23Rik</v>
      </c>
    </row>
    <row r="23" spans="1:6" x14ac:dyDescent="0.25">
      <c r="A23" t="s">
        <v>1899</v>
      </c>
      <c r="B23" t="s">
        <v>1438</v>
      </c>
      <c r="C23" s="48">
        <v>3.7309999999999999</v>
      </c>
      <c r="D23" s="25">
        <v>5.7539999999999996</v>
      </c>
      <c r="E23" s="20">
        <v>0.61119999999999997</v>
      </c>
      <c r="F23" s="1" t="str">
        <f>HYPERLINK("http://www.ncbi.nlm.nih.gov/pubmed/?term=Myl9","Myl9")</f>
        <v>Myl9</v>
      </c>
    </row>
    <row r="24" spans="1:6" x14ac:dyDescent="0.25">
      <c r="A24" t="s">
        <v>625</v>
      </c>
      <c r="B24" t="s">
        <v>448</v>
      </c>
      <c r="C24" s="25">
        <v>6.1970000000000001</v>
      </c>
      <c r="D24" s="22">
        <v>4.798</v>
      </c>
      <c r="E24" s="32">
        <v>3.0950000000000002</v>
      </c>
      <c r="F24" s="1" t="str">
        <f>HYPERLINK("http://www.ncbi.nlm.nih.gov/pubmed/?term=Amotl1","Amotl1")</f>
        <v>Amotl1</v>
      </c>
    </row>
    <row r="25" spans="1:6" x14ac:dyDescent="0.25">
      <c r="A25" t="s">
        <v>1774</v>
      </c>
      <c r="B25" t="s">
        <v>838</v>
      </c>
      <c r="C25" s="29">
        <v>6.8879999999999999</v>
      </c>
      <c r="D25" s="22">
        <v>5.4690000000000003</v>
      </c>
      <c r="E25" s="48">
        <v>3.8359999999999999</v>
      </c>
      <c r="F25" s="1" t="str">
        <f>HYPERLINK("http://www.ncbi.nlm.nih.gov/pubmed/?term=Spnb2","Spnb2")</f>
        <v>Spnb2</v>
      </c>
    </row>
    <row r="26" spans="1:6" x14ac:dyDescent="0.25">
      <c r="A26" t="s">
        <v>1408</v>
      </c>
      <c r="B26" t="s">
        <v>782</v>
      </c>
      <c r="C26" s="48">
        <v>4.3209999999999997</v>
      </c>
      <c r="D26" s="12">
        <v>1.758</v>
      </c>
      <c r="E26" s="12">
        <v>1.5389999999999999</v>
      </c>
      <c r="F26" s="1" t="str">
        <f>HYPERLINK("http://www.ncbi.nlm.nih.gov/pubmed/?term=Myh10","Myh10")</f>
        <v>Myh10</v>
      </c>
    </row>
    <row r="27" spans="1:6" x14ac:dyDescent="0.25">
      <c r="A27" t="s">
        <v>101</v>
      </c>
      <c r="B27" t="s">
        <v>988</v>
      </c>
      <c r="C27" s="25">
        <v>5.5229999999999997</v>
      </c>
      <c r="D27" s="48">
        <v>4.4969999999999999</v>
      </c>
      <c r="E27" s="48">
        <v>4.4459999999999997</v>
      </c>
      <c r="F27" s="1" t="str">
        <f>HYPERLINK("http://www.ncbi.nlm.nih.gov/pubmed/?term=Ppp2r2a","Ppp2r2a")</f>
        <v>Ppp2r2a</v>
      </c>
    </row>
    <row r="28" spans="1:6" x14ac:dyDescent="0.25">
      <c r="A28" t="s">
        <v>1056</v>
      </c>
      <c r="B28" t="s">
        <v>1493</v>
      </c>
      <c r="C28" s="22">
        <v>5.1059999999999999</v>
      </c>
      <c r="D28" s="22">
        <v>4.6779999999999999</v>
      </c>
      <c r="E28" s="48">
        <v>4.0839999999999996</v>
      </c>
      <c r="F28" s="1" t="str">
        <f>HYPERLINK("http://www.ncbi.nlm.nih.gov/pubmed/?term=Pard3","Pard3")</f>
        <v>Pard3</v>
      </c>
    </row>
    <row r="29" spans="1:6" x14ac:dyDescent="0.25">
      <c r="A29" t="s">
        <v>134</v>
      </c>
      <c r="B29" t="s">
        <v>309</v>
      </c>
      <c r="C29" s="32">
        <v>3.456</v>
      </c>
      <c r="D29" s="32">
        <v>2.56</v>
      </c>
      <c r="E29" s="26">
        <v>0.28589999999999999</v>
      </c>
      <c r="F29" s="1" t="str">
        <f>HYPERLINK("http://www.ncbi.nlm.nih.gov/pubmed/?term=Mpdz","Mpdz")</f>
        <v>Mpdz</v>
      </c>
    </row>
    <row r="30" spans="1:6" x14ac:dyDescent="0.25">
      <c r="A30" t="s">
        <v>1917</v>
      </c>
      <c r="B30" t="s">
        <v>2097</v>
      </c>
      <c r="C30" s="29">
        <v>6.6760000000000002</v>
      </c>
      <c r="D30" s="29">
        <v>6.5359999999999996</v>
      </c>
      <c r="E30" s="22">
        <v>5.0650000000000004</v>
      </c>
      <c r="F30" s="1" t="str">
        <f>HYPERLINK("http://www.ncbi.nlm.nih.gov/pubmed/?term=Csda","Csda")</f>
        <v>Csda</v>
      </c>
    </row>
    <row r="31" spans="1:6" x14ac:dyDescent="0.25">
      <c r="A31" t="s">
        <v>1745</v>
      </c>
      <c r="B31" t="s">
        <v>1404</v>
      </c>
      <c r="C31" s="25">
        <v>6.2240000000000002</v>
      </c>
      <c r="D31" s="25">
        <v>5.6840000000000002</v>
      </c>
      <c r="E31" s="22">
        <v>5.1150000000000002</v>
      </c>
      <c r="F31" s="1" t="str">
        <f>HYPERLINK("http://www.ncbi.nlm.nih.gov/pubmed/?term=Cttn","Cttn")</f>
        <v>Cttn</v>
      </c>
    </row>
    <row r="32" spans="1:6" x14ac:dyDescent="0.25">
      <c r="A32" t="s">
        <v>811</v>
      </c>
      <c r="B32" t="s">
        <v>886</v>
      </c>
      <c r="C32" s="22">
        <v>4.8479999999999999</v>
      </c>
      <c r="D32" s="32">
        <v>3.1829999999999998</v>
      </c>
      <c r="E32" s="32">
        <v>2.93</v>
      </c>
      <c r="F32" s="1" t="str">
        <f>HYPERLINK("http://www.ncbi.nlm.nih.gov/pubmed/?term=Ppp2r1b","Ppp2r1b")</f>
        <v>Ppp2r1b</v>
      </c>
    </row>
    <row r="33" spans="1:6" x14ac:dyDescent="0.25">
      <c r="A33" t="s">
        <v>866</v>
      </c>
      <c r="B33" t="s">
        <v>1074</v>
      </c>
      <c r="C33" s="25">
        <v>5.6680000000000001</v>
      </c>
      <c r="D33" s="48">
        <v>4.3540000000000001</v>
      </c>
      <c r="E33" s="48">
        <v>3.786</v>
      </c>
      <c r="F33" s="1" t="str">
        <f>HYPERLINK("http://www.ncbi.nlm.nih.gov/pubmed/?term=Prkci","Prkci")</f>
        <v>Prkci</v>
      </c>
    </row>
    <row r="34" spans="1:6" x14ac:dyDescent="0.25">
      <c r="A34" t="s">
        <v>948</v>
      </c>
      <c r="B34" t="s">
        <v>829</v>
      </c>
      <c r="C34" s="25">
        <v>5.7649999999999997</v>
      </c>
      <c r="D34" s="25">
        <v>5.5519999999999996</v>
      </c>
      <c r="E34" s="48">
        <v>3.9569999999999999</v>
      </c>
      <c r="F34" s="1" t="str">
        <f>HYPERLINK("http://www.ncbi.nlm.nih.gov/pubmed/?term=Rras","Rras")</f>
        <v>Rras</v>
      </c>
    </row>
    <row r="35" spans="1:6" x14ac:dyDescent="0.25">
      <c r="A35" t="s">
        <v>1193</v>
      </c>
      <c r="B35" t="s">
        <v>1547</v>
      </c>
      <c r="C35" s="48">
        <v>3.714</v>
      </c>
      <c r="D35" s="26">
        <v>0.17949999999999999</v>
      </c>
      <c r="E35" s="26">
        <v>-2.9609999999999999</v>
      </c>
      <c r="F35" s="1" t="str">
        <f>HYPERLINK("http://www.ncbi.nlm.nih.gov/pubmed/?term=Cldn8","Cldn8")</f>
        <v>Cldn8</v>
      </c>
    </row>
    <row r="36" spans="1:6" x14ac:dyDescent="0.25">
      <c r="A36" t="s">
        <v>94</v>
      </c>
      <c r="B36" t="s">
        <v>605</v>
      </c>
      <c r="C36" s="32">
        <v>3.35</v>
      </c>
      <c r="D36" s="32">
        <v>2.903</v>
      </c>
      <c r="E36" s="12">
        <v>2.153</v>
      </c>
      <c r="F36" s="1" t="str">
        <f>HYPERLINK("http://www.ncbi.nlm.nih.gov/pubmed/?term=Rras2","Rras2")</f>
        <v>Rras2</v>
      </c>
    </row>
    <row r="37" spans="1:6" x14ac:dyDescent="0.25">
      <c r="A37" t="s">
        <v>1988</v>
      </c>
      <c r="B37" t="s">
        <v>758</v>
      </c>
      <c r="C37" s="25">
        <v>6.266</v>
      </c>
      <c r="D37" s="22">
        <v>5.4480000000000004</v>
      </c>
      <c r="E37" s="48">
        <v>3.73</v>
      </c>
      <c r="F37" s="1" t="str">
        <f>HYPERLINK("http://www.ncbi.nlm.nih.gov/pubmed/?term=Pard6g","Pard6g")</f>
        <v>Pard6g</v>
      </c>
    </row>
    <row r="38" spans="1:6" x14ac:dyDescent="0.25">
      <c r="A38" t="s">
        <v>1819</v>
      </c>
      <c r="B38" t="s">
        <v>1948</v>
      </c>
      <c r="C38" s="25">
        <v>6.0519999999999996</v>
      </c>
      <c r="D38" s="25">
        <v>5.57</v>
      </c>
      <c r="E38" s="24">
        <v>7.7460000000000004</v>
      </c>
      <c r="F38" s="1" t="str">
        <f>HYPERLINK("http://www.ncbi.nlm.nih.gov/pubmed/?term=Actn3","Actn3")</f>
        <v>Actn3</v>
      </c>
    </row>
    <row r="39" spans="1:6" x14ac:dyDescent="0.25">
      <c r="A39" t="s">
        <v>1880</v>
      </c>
      <c r="B39" t="s">
        <v>1077</v>
      </c>
      <c r="C39" s="48">
        <v>3.6549999999999998</v>
      </c>
      <c r="D39" s="32">
        <v>3.3140000000000001</v>
      </c>
      <c r="E39" s="25">
        <v>6.2270000000000003</v>
      </c>
      <c r="F39" s="1" t="str">
        <f>HYPERLINK("http://www.ncbi.nlm.nih.gov/pubmed/?term=Prkca","Prkca")</f>
        <v>Prkca</v>
      </c>
    </row>
    <row r="40" spans="1:6" x14ac:dyDescent="0.25">
      <c r="A40" t="s">
        <v>1568</v>
      </c>
      <c r="B40" t="s">
        <v>1595</v>
      </c>
      <c r="C40" s="22">
        <v>4.9450000000000003</v>
      </c>
      <c r="D40" s="32">
        <v>3.46</v>
      </c>
      <c r="E40" s="48">
        <v>3.7269999999999999</v>
      </c>
      <c r="F40" s="1" t="str">
        <f>HYPERLINK("http://www.ncbi.nlm.nih.gov/pubmed/?term=Tjap1","Tjap1")</f>
        <v>Tjap1</v>
      </c>
    </row>
    <row r="41" spans="1:6" x14ac:dyDescent="0.25">
      <c r="A41" t="s">
        <v>19</v>
      </c>
      <c r="B41" t="s">
        <v>1514</v>
      </c>
      <c r="C41" s="29">
        <v>6.88</v>
      </c>
      <c r="D41" s="22">
        <v>4.806</v>
      </c>
      <c r="E41" s="25">
        <v>5.86</v>
      </c>
      <c r="F41" s="1" t="str">
        <f>HYPERLINK("http://www.ncbi.nlm.nih.gov/pubmed/?term=Epb4.1l3","Epb4.1l3")</f>
        <v>Epb4.1l3</v>
      </c>
    </row>
    <row r="42" spans="1:6" x14ac:dyDescent="0.25">
      <c r="A42" t="s">
        <v>374</v>
      </c>
      <c r="B42" t="s">
        <v>1081</v>
      </c>
      <c r="C42" s="48">
        <v>4.33</v>
      </c>
      <c r="D42" s="12">
        <v>1.802</v>
      </c>
      <c r="E42" s="12">
        <v>2.2570000000000001</v>
      </c>
      <c r="F42" s="1" t="str">
        <f>HYPERLINK("http://www.ncbi.nlm.nih.gov/pubmed/?term=Prkcq","Prkcq")</f>
        <v>Prkcq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279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1971</v>
      </c>
      <c r="B5" t="s">
        <v>671</v>
      </c>
      <c r="C5" s="26">
        <v>-2.4889999999999999</v>
      </c>
      <c r="D5" s="41">
        <v>3.9620000000000002</v>
      </c>
      <c r="E5" s="38">
        <v>1.2070000000000001</v>
      </c>
      <c r="F5" s="1" t="str">
        <f>HYPERLINK("http://www.ncbi.nlm.nih.gov/pubmed/?term=Pgf","Pgf")</f>
        <v>Pgf</v>
      </c>
    </row>
    <row r="6" spans="1:6" x14ac:dyDescent="0.25">
      <c r="A6" t="s">
        <v>552</v>
      </c>
      <c r="B6" t="s">
        <v>1628</v>
      </c>
      <c r="C6" s="26">
        <v>-0.99019999999999997</v>
      </c>
      <c r="D6" s="22">
        <v>5.8730000000000002</v>
      </c>
      <c r="E6" s="17">
        <v>4.5999999999999996</v>
      </c>
      <c r="F6" s="1" t="str">
        <f>HYPERLINK("http://www.ncbi.nlm.nih.gov/pubmed/?term=Ccl20","Ccl20")</f>
        <v>Ccl20</v>
      </c>
    </row>
    <row r="7" spans="1:6" x14ac:dyDescent="0.25">
      <c r="A7" t="s">
        <v>1296</v>
      </c>
      <c r="B7" t="s">
        <v>2010</v>
      </c>
      <c r="C7" s="22">
        <v>5.617</v>
      </c>
      <c r="D7" s="22">
        <v>5.968</v>
      </c>
      <c r="E7" s="10">
        <v>6.9470000000000001</v>
      </c>
      <c r="F7" s="1" t="str">
        <f>HYPERLINK("http://www.ncbi.nlm.nih.gov/pubmed/?term=Atp6v0e","Atp6v0e")</f>
        <v>Atp6v0e</v>
      </c>
    </row>
    <row r="8" spans="1:6" x14ac:dyDescent="0.25">
      <c r="A8" t="s">
        <v>158</v>
      </c>
      <c r="B8" t="s">
        <v>525</v>
      </c>
      <c r="C8" s="41">
        <v>4.016</v>
      </c>
      <c r="D8" s="17">
        <v>4.9139999999999997</v>
      </c>
      <c r="E8" s="10">
        <v>6.6710000000000003</v>
      </c>
      <c r="F8" s="1" t="str">
        <f>HYPERLINK("http://www.ncbi.nlm.nih.gov/pubmed/?term=Atp6v1c1","Atp6v1c1")</f>
        <v>Atp6v1c1</v>
      </c>
    </row>
    <row r="9" spans="1:6" x14ac:dyDescent="0.25">
      <c r="A9" t="s">
        <v>164</v>
      </c>
      <c r="B9" t="s">
        <v>2130</v>
      </c>
      <c r="C9" s="26">
        <v>-2.2599999999999998</v>
      </c>
      <c r="D9" s="26">
        <v>-1.3340000000000001</v>
      </c>
      <c r="E9" s="41">
        <v>3.8769999999999998</v>
      </c>
      <c r="F9" s="1" t="str">
        <f>HYPERLINK("http://www.ncbi.nlm.nih.gov/pubmed/?term=Cd86","Cd86")</f>
        <v>Cd86</v>
      </c>
    </row>
    <row r="10" spans="1:6" x14ac:dyDescent="0.25">
      <c r="A10" t="s">
        <v>643</v>
      </c>
      <c r="B10" t="s">
        <v>598</v>
      </c>
      <c r="C10" s="38">
        <v>0.71689999999999998</v>
      </c>
      <c r="D10" s="23">
        <v>2.988</v>
      </c>
      <c r="E10" s="41">
        <v>4.0490000000000004</v>
      </c>
      <c r="F10" s="1" t="str">
        <f>HYPERLINK("http://www.ncbi.nlm.nih.gov/pubmed/?term=Ltb","Ltb")</f>
        <v>Ltb</v>
      </c>
    </row>
    <row r="11" spans="1:6" x14ac:dyDescent="0.25">
      <c r="A11" t="s">
        <v>656</v>
      </c>
      <c r="B11" t="s">
        <v>1049</v>
      </c>
      <c r="C11" s="26">
        <v>-1.929</v>
      </c>
      <c r="D11" s="38">
        <v>0.65049999999999997</v>
      </c>
      <c r="E11" s="41">
        <v>4.242</v>
      </c>
      <c r="F11" s="1" t="str">
        <f>HYPERLINK("http://www.ncbi.nlm.nih.gov/pubmed/?term=Tnf","Tnf")</f>
        <v>Tnf</v>
      </c>
    </row>
    <row r="12" spans="1:6" x14ac:dyDescent="0.25">
      <c r="A12" t="s">
        <v>779</v>
      </c>
      <c r="B12" t="s">
        <v>1650</v>
      </c>
      <c r="C12" s="26">
        <v>-1.085</v>
      </c>
      <c r="D12" s="41">
        <v>3.79</v>
      </c>
      <c r="E12" s="10">
        <v>6.8739999999999997</v>
      </c>
      <c r="F12" s="1" t="str">
        <f>HYPERLINK("http://www.ncbi.nlm.nih.gov/pubmed/?term=Il23a","Il23a")</f>
        <v>Il23a</v>
      </c>
    </row>
    <row r="13" spans="1:6" x14ac:dyDescent="0.25">
      <c r="A13" t="s">
        <v>1830</v>
      </c>
      <c r="B13" t="s">
        <v>747</v>
      </c>
      <c r="C13" s="26">
        <v>-3.5540000000000002E-2</v>
      </c>
      <c r="D13" s="17">
        <v>4.915</v>
      </c>
      <c r="E13" s="22">
        <v>6.1319999999999997</v>
      </c>
      <c r="F13" s="1" t="str">
        <f>HYPERLINK("http://www.ncbi.nlm.nih.gov/pubmed/?term=Tnfrsf11a","Tnfrsf11a")</f>
        <v>Tnfrsf11a</v>
      </c>
    </row>
    <row r="14" spans="1:6" x14ac:dyDescent="0.25">
      <c r="A14" t="s">
        <v>1200</v>
      </c>
      <c r="B14" t="s">
        <v>295</v>
      </c>
      <c r="C14" s="21">
        <v>1.873</v>
      </c>
      <c r="D14" s="21">
        <v>1.946</v>
      </c>
      <c r="E14" s="23">
        <v>3.484</v>
      </c>
      <c r="F14" s="1" t="str">
        <f>HYPERLINK("http://www.ncbi.nlm.nih.gov/pubmed/?term=Itgal","Itgal")</f>
        <v>Itgal</v>
      </c>
    </row>
    <row r="15" spans="1:6" x14ac:dyDescent="0.25">
      <c r="A15" t="s">
        <v>22</v>
      </c>
      <c r="B15" t="s">
        <v>1430</v>
      </c>
      <c r="C15" s="23">
        <v>2.6739999999999999</v>
      </c>
      <c r="D15" s="23">
        <v>3.2469999999999999</v>
      </c>
      <c r="E15" s="17">
        <v>5.35</v>
      </c>
      <c r="F15" s="1" t="str">
        <f>HYPERLINK("http://www.ncbi.nlm.nih.gov/pubmed/?term=Ccl5","Ccl5")</f>
        <v>Ccl5</v>
      </c>
    </row>
    <row r="16" spans="1:6" x14ac:dyDescent="0.25">
      <c r="A16" t="s">
        <v>1956</v>
      </c>
      <c r="B16" t="s">
        <v>1715</v>
      </c>
      <c r="C16" s="22">
        <v>5.9130000000000003</v>
      </c>
      <c r="D16" s="22">
        <v>5.9269999999999996</v>
      </c>
      <c r="E16" s="3">
        <v>8.0259999999999998</v>
      </c>
      <c r="F16" s="1" t="str">
        <f>HYPERLINK("http://www.ncbi.nlm.nih.gov/pubmed/?term=H2-DMb2","H2-DMb2")</f>
        <v>H2-DMb2</v>
      </c>
    </row>
    <row r="17" spans="1:6" x14ac:dyDescent="0.25">
      <c r="A17" t="s">
        <v>1491</v>
      </c>
      <c r="B17" t="s">
        <v>1428</v>
      </c>
      <c r="C17" s="26">
        <v>-0.41930000000000001</v>
      </c>
      <c r="D17" s="21">
        <v>2.2890000000000001</v>
      </c>
      <c r="E17" s="10">
        <v>6.6079999999999997</v>
      </c>
      <c r="F17" s="1" t="str">
        <f>HYPERLINK("http://www.ncbi.nlm.nih.gov/pubmed/?term=H2-Ob","H2-Ob")</f>
        <v>H2-Ob</v>
      </c>
    </row>
    <row r="18" spans="1:6" x14ac:dyDescent="0.25">
      <c r="A18" t="s">
        <v>1401</v>
      </c>
      <c r="B18" t="s">
        <v>591</v>
      </c>
      <c r="C18" s="16">
        <v>9.7219999999999995</v>
      </c>
      <c r="D18" s="16">
        <v>9.8309999999999995</v>
      </c>
      <c r="E18" s="43">
        <v>11.67</v>
      </c>
      <c r="F18" s="1" t="str">
        <f>HYPERLINK("http://www.ncbi.nlm.nih.gov/pubmed/?term=H2-Eb1","H2-Eb1")</f>
        <v>H2-Eb1</v>
      </c>
    </row>
    <row r="19" spans="1:6" x14ac:dyDescent="0.25">
      <c r="A19" t="s">
        <v>1647</v>
      </c>
      <c r="B19" t="s">
        <v>2128</v>
      </c>
      <c r="C19" s="26">
        <v>-0.96909999999999996</v>
      </c>
      <c r="D19" s="23">
        <v>2.597</v>
      </c>
      <c r="E19" s="10">
        <v>6.5759999999999996</v>
      </c>
      <c r="F19" s="1" t="str">
        <f>HYPERLINK("http://www.ncbi.nlm.nih.gov/pubmed/?term=Cd80","Cd80")</f>
        <v>Cd80</v>
      </c>
    </row>
    <row r="20" spans="1:6" x14ac:dyDescent="0.25">
      <c r="A20" t="s">
        <v>1045</v>
      </c>
      <c r="B20" t="s">
        <v>1412</v>
      </c>
      <c r="C20" s="3">
        <v>8.2629999999999999</v>
      </c>
      <c r="D20" s="45">
        <v>8.5969999999999995</v>
      </c>
      <c r="E20" s="10">
        <v>6.7990000000000004</v>
      </c>
      <c r="F20" s="1" t="str">
        <f>HYPERLINK("http://www.ncbi.nlm.nih.gov/pubmed/?term=Fos","Fos")</f>
        <v>Fos</v>
      </c>
    </row>
    <row r="21" spans="1:6" x14ac:dyDescent="0.25">
      <c r="A21" t="s">
        <v>1882</v>
      </c>
      <c r="B21" t="s">
        <v>474</v>
      </c>
      <c r="C21" s="23">
        <v>3.1909999999999998</v>
      </c>
      <c r="D21" s="41">
        <v>4.0170000000000003</v>
      </c>
      <c r="E21" s="38">
        <v>1.3959999999999999</v>
      </c>
      <c r="F21" s="1" t="str">
        <f>HYPERLINK("http://www.ncbi.nlm.nih.gov/pubmed/?term=Tgfb3","Tgfb3")</f>
        <v>Tgfb3</v>
      </c>
    </row>
    <row r="22" spans="1:6" x14ac:dyDescent="0.25">
      <c r="A22" t="s">
        <v>1884</v>
      </c>
      <c r="B22" t="s">
        <v>2000</v>
      </c>
      <c r="C22" s="45">
        <v>8.7729999999999997</v>
      </c>
      <c r="D22" s="45">
        <v>9.0190000000000001</v>
      </c>
      <c r="E22" s="10">
        <v>7.4089999999999998</v>
      </c>
      <c r="F22" s="1" t="str">
        <f>HYPERLINK("http://www.ncbi.nlm.nih.gov/pubmed/?term=Jun","Jun")</f>
        <v>Jun</v>
      </c>
    </row>
    <row r="23" spans="1:6" x14ac:dyDescent="0.25">
      <c r="A23" t="s">
        <v>1043</v>
      </c>
      <c r="B23" t="s">
        <v>1537</v>
      </c>
      <c r="C23" s="17">
        <v>4.7699999999999996</v>
      </c>
      <c r="D23" s="41">
        <v>4.4960000000000004</v>
      </c>
      <c r="E23" s="23">
        <v>2.8730000000000002</v>
      </c>
      <c r="F23" s="1" t="str">
        <f>HYPERLINK("http://www.ncbi.nlm.nih.gov/pubmed/?term=Tcirg1","Tcirg1")</f>
        <v>Tcirg1</v>
      </c>
    </row>
    <row r="24" spans="1:6" x14ac:dyDescent="0.25">
      <c r="A24" t="s">
        <v>1024</v>
      </c>
      <c r="B24" t="s">
        <v>1528</v>
      </c>
      <c r="C24" s="43">
        <v>12.53</v>
      </c>
      <c r="D24" s="45">
        <v>8.9949999999999992</v>
      </c>
      <c r="E24" s="22">
        <v>5.8230000000000004</v>
      </c>
      <c r="F24" s="1" t="str">
        <f>HYPERLINK("http://www.ncbi.nlm.nih.gov/pubmed/?term=Ctsl","Ctsl")</f>
        <v>Ctsl</v>
      </c>
    </row>
    <row r="25" spans="1:6" x14ac:dyDescent="0.25">
      <c r="A25" t="s">
        <v>2197</v>
      </c>
      <c r="B25" t="s">
        <v>1027</v>
      </c>
      <c r="C25" s="17">
        <v>5.4749999999999996</v>
      </c>
      <c r="D25" s="17">
        <v>5.3170000000000002</v>
      </c>
      <c r="E25" s="41">
        <v>3.907</v>
      </c>
      <c r="F25" s="1" t="str">
        <f>HYPERLINK("http://www.ncbi.nlm.nih.gov/pubmed/?term=Vegfa","Vegfa")</f>
        <v>Vegfa</v>
      </c>
    </row>
    <row r="26" spans="1:6" x14ac:dyDescent="0.25">
      <c r="A26" t="s">
        <v>613</v>
      </c>
      <c r="B26" t="s">
        <v>1832</v>
      </c>
      <c r="C26" s="10">
        <v>7.4169999999999998</v>
      </c>
      <c r="D26" s="22">
        <v>6.1340000000000003</v>
      </c>
      <c r="E26" s="22">
        <v>5.6260000000000003</v>
      </c>
      <c r="F26" s="1" t="str">
        <f>HYPERLINK("http://www.ncbi.nlm.nih.gov/pubmed/?term=Atp6v1g1","Atp6v1g1")</f>
        <v>Atp6v1g1</v>
      </c>
    </row>
    <row r="27" spans="1:6" x14ac:dyDescent="0.25">
      <c r="A27" t="s">
        <v>2072</v>
      </c>
      <c r="B27" t="s">
        <v>1589</v>
      </c>
      <c r="C27" s="3">
        <v>8.0980000000000008</v>
      </c>
      <c r="D27" s="21">
        <v>1.8280000000000001</v>
      </c>
      <c r="E27" s="26">
        <v>-1.3660000000000001</v>
      </c>
      <c r="F27" s="1" t="str">
        <f>HYPERLINK("http://www.ncbi.nlm.nih.gov/pubmed/?term=Cxcl12","Cxcl12")</f>
        <v>Cxcl12</v>
      </c>
    </row>
    <row r="28" spans="1:6" x14ac:dyDescent="0.25">
      <c r="A28" t="s">
        <v>1459</v>
      </c>
      <c r="B28" t="s">
        <v>473</v>
      </c>
      <c r="C28" s="23">
        <v>3.3570000000000002</v>
      </c>
      <c r="D28" s="23">
        <v>2.609</v>
      </c>
      <c r="E28" s="41">
        <v>3.7639999999999998</v>
      </c>
      <c r="F28" s="1" t="str">
        <f>HYPERLINK("http://www.ncbi.nlm.nih.gov/pubmed/?term=Tgfb1","Tgfb1")</f>
        <v>Tgfb1</v>
      </c>
    </row>
    <row r="29" spans="1:6" x14ac:dyDescent="0.25">
      <c r="A29" t="s">
        <v>911</v>
      </c>
      <c r="B29" t="s">
        <v>1166</v>
      </c>
      <c r="C29" s="22">
        <v>5.8419999999999996</v>
      </c>
      <c r="D29" s="17">
        <v>4.8109999999999999</v>
      </c>
      <c r="E29" s="10">
        <v>6.6239999999999997</v>
      </c>
      <c r="F29" s="1" t="str">
        <f>HYPERLINK("http://www.ncbi.nlm.nih.gov/pubmed/?term=Atp6v0a1","Atp6v0a1")</f>
        <v>Atp6v0a1</v>
      </c>
    </row>
    <row r="30" spans="1:6" x14ac:dyDescent="0.25">
      <c r="A30" t="s">
        <v>1324</v>
      </c>
      <c r="B30" t="s">
        <v>1429</v>
      </c>
      <c r="C30" s="17">
        <v>5.2809999999999997</v>
      </c>
      <c r="D30" s="17">
        <v>5.2389999999999999</v>
      </c>
      <c r="E30" s="3">
        <v>8.2189999999999994</v>
      </c>
      <c r="F30" s="1" t="str">
        <f>HYPERLINK("http://www.ncbi.nlm.nih.gov/pubmed/?term=H2-Oa","H2-Oa")</f>
        <v>H2-Oa</v>
      </c>
    </row>
    <row r="31" spans="1:6" x14ac:dyDescent="0.25">
      <c r="A31" t="s">
        <v>566</v>
      </c>
      <c r="B31" t="s">
        <v>727</v>
      </c>
      <c r="C31" s="26">
        <v>-0.22</v>
      </c>
      <c r="D31" s="26">
        <v>-1.9410000000000001</v>
      </c>
      <c r="E31" s="17">
        <v>5.1689999999999996</v>
      </c>
      <c r="F31" s="1" t="str">
        <f>HYPERLINK("http://www.ncbi.nlm.nih.gov/pubmed/?term=Ctla4","Ctla4")</f>
        <v>Ctla4</v>
      </c>
    </row>
    <row r="32" spans="1:6" x14ac:dyDescent="0.25">
      <c r="A32" t="s">
        <v>724</v>
      </c>
      <c r="B32" t="s">
        <v>931</v>
      </c>
      <c r="C32" s="23">
        <v>2.7850000000000001</v>
      </c>
      <c r="D32" s="23">
        <v>2.702</v>
      </c>
      <c r="E32" s="17">
        <v>5.0590000000000002</v>
      </c>
      <c r="F32" s="1" t="str">
        <f>HYPERLINK("http://www.ncbi.nlm.nih.gov/pubmed/?term=Il15","Il15")</f>
        <v>Il15</v>
      </c>
    </row>
    <row r="33" spans="1:6" x14ac:dyDescent="0.25">
      <c r="A33" t="s">
        <v>1298</v>
      </c>
      <c r="B33" t="s">
        <v>2007</v>
      </c>
      <c r="C33" s="22">
        <v>5.6059999999999999</v>
      </c>
      <c r="D33" s="17">
        <v>5.4770000000000003</v>
      </c>
      <c r="E33" s="10">
        <v>6.5170000000000003</v>
      </c>
      <c r="F33" s="1" t="str">
        <f>HYPERLINK("http://www.ncbi.nlm.nih.gov/pubmed/?term=Atp6v0b","Atp6v0b")</f>
        <v>Atp6v0b</v>
      </c>
    </row>
    <row r="34" spans="1:6" x14ac:dyDescent="0.25">
      <c r="A34" t="s">
        <v>528</v>
      </c>
      <c r="B34" t="s">
        <v>1739</v>
      </c>
      <c r="C34" s="16">
        <v>10.41</v>
      </c>
      <c r="D34" s="16">
        <v>10.1</v>
      </c>
      <c r="E34" s="43">
        <v>12.37</v>
      </c>
      <c r="F34" s="1" t="str">
        <f>HYPERLINK("http://www.ncbi.nlm.nih.gov/pubmed/?term=H2-Aa","H2-Aa")</f>
        <v>H2-Aa</v>
      </c>
    </row>
    <row r="35" spans="1:6" x14ac:dyDescent="0.25">
      <c r="A35" t="s">
        <v>546</v>
      </c>
      <c r="B35" t="s">
        <v>647</v>
      </c>
      <c r="C35" s="10">
        <v>7.0970000000000004</v>
      </c>
      <c r="D35" s="10">
        <v>6.6790000000000003</v>
      </c>
      <c r="E35" s="45">
        <v>8.57</v>
      </c>
      <c r="F35" s="1" t="str">
        <f>HYPERLINK("http://www.ncbi.nlm.nih.gov/pubmed/?term=Icam1","Icam1")</f>
        <v>Icam1</v>
      </c>
    </row>
    <row r="36" spans="1:6" x14ac:dyDescent="0.25">
      <c r="A36" t="s">
        <v>1974</v>
      </c>
      <c r="B36" t="s">
        <v>1270</v>
      </c>
      <c r="C36" s="7">
        <v>10.67</v>
      </c>
      <c r="D36" s="16">
        <v>10.31</v>
      </c>
      <c r="E36" s="43">
        <v>12.36</v>
      </c>
      <c r="F36" s="1" t="str">
        <f>HYPERLINK("http://www.ncbi.nlm.nih.gov/pubmed/?term=H2-Ab1","H2-Ab1")</f>
        <v>H2-Ab1</v>
      </c>
    </row>
    <row r="37" spans="1:6" x14ac:dyDescent="0.25">
      <c r="A37" t="s">
        <v>1468</v>
      </c>
      <c r="B37" t="s">
        <v>1716</v>
      </c>
      <c r="C37" s="17">
        <v>5.3959999999999999</v>
      </c>
      <c r="D37" s="17">
        <v>5.0060000000000002</v>
      </c>
      <c r="E37" s="10">
        <v>6.9</v>
      </c>
      <c r="F37" s="1" t="str">
        <f>HYPERLINK("http://www.ncbi.nlm.nih.gov/pubmed/?term=H2-DMb1","H2-DMb1")</f>
        <v>H2-DMb1</v>
      </c>
    </row>
    <row r="38" spans="1:6" x14ac:dyDescent="0.25">
      <c r="A38" t="s">
        <v>1660</v>
      </c>
      <c r="B38" t="s">
        <v>2069</v>
      </c>
      <c r="C38" s="41">
        <v>3.8090000000000002</v>
      </c>
      <c r="D38" s="26">
        <v>-1.27</v>
      </c>
      <c r="E38" s="26">
        <v>-1.117</v>
      </c>
      <c r="F38" s="1" t="str">
        <f>HYPERLINK("http://www.ncbi.nlm.nih.gov/pubmed/?term=Itgb2","Itgb2")</f>
        <v>Itgb2</v>
      </c>
    </row>
    <row r="39" spans="1:6" x14ac:dyDescent="0.25">
      <c r="A39" t="s">
        <v>865</v>
      </c>
      <c r="B39" t="s">
        <v>1044</v>
      </c>
      <c r="C39" s="10">
        <v>6.5350000000000001</v>
      </c>
      <c r="D39" s="17">
        <v>4.9409999999999998</v>
      </c>
      <c r="E39" s="22">
        <v>6.3239999999999998</v>
      </c>
      <c r="F39" s="1" t="str">
        <f>HYPERLINK("http://www.ncbi.nlm.nih.gov/pubmed/?term=H2-DMa","H2-DMa")</f>
        <v>H2-DMa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828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1971</v>
      </c>
      <c r="B5" t="s">
        <v>671</v>
      </c>
      <c r="C5" s="26">
        <v>-2.4889999999999999</v>
      </c>
      <c r="D5" s="42">
        <v>3.9620000000000002</v>
      </c>
      <c r="E5" s="14">
        <v>1.2070000000000001</v>
      </c>
      <c r="F5" s="1" t="str">
        <f>HYPERLINK("http://www.ncbi.nlm.nih.gov/pubmed/?term=Pgf","Pgf")</f>
        <v>Pgf</v>
      </c>
    </row>
    <row r="6" spans="1:6" x14ac:dyDescent="0.25">
      <c r="A6" t="s">
        <v>498</v>
      </c>
      <c r="B6" t="s">
        <v>297</v>
      </c>
      <c r="C6" s="36">
        <v>2.2389999999999999</v>
      </c>
      <c r="D6" s="43">
        <v>7.0960000000000001</v>
      </c>
      <c r="E6" s="27">
        <v>5.49</v>
      </c>
      <c r="F6" s="1" t="str">
        <f>HYPERLINK("http://www.ncbi.nlm.nih.gov/pubmed/?term=Mapk13","Mapk13")</f>
        <v>Mapk13</v>
      </c>
    </row>
    <row r="7" spans="1:6" x14ac:dyDescent="0.25">
      <c r="A7" t="s">
        <v>1470</v>
      </c>
      <c r="B7" t="s">
        <v>1306</v>
      </c>
      <c r="C7" s="26">
        <v>0.16650000000000001</v>
      </c>
      <c r="D7" s="43">
        <v>7.899</v>
      </c>
      <c r="E7" s="27">
        <v>5.085</v>
      </c>
      <c r="F7" s="1" t="str">
        <f>HYPERLINK("http://www.ncbi.nlm.nih.gov/pubmed/?term=Hspb1","Hspb1")</f>
        <v>Hspb1</v>
      </c>
    </row>
    <row r="8" spans="1:6" x14ac:dyDescent="0.25">
      <c r="A8" t="s">
        <v>2016</v>
      </c>
      <c r="B8" t="s">
        <v>1464</v>
      </c>
      <c r="C8" s="26">
        <v>-0.25159999999999999</v>
      </c>
      <c r="D8" s="27">
        <v>4.952</v>
      </c>
      <c r="E8" s="14">
        <v>0.69540000000000002</v>
      </c>
      <c r="F8" s="1" t="str">
        <f>HYPERLINK("http://www.ncbi.nlm.nih.gov/pubmed/?term=Pik3cg","Pik3cg")</f>
        <v>Pik3cg</v>
      </c>
    </row>
    <row r="9" spans="1:6" x14ac:dyDescent="0.25">
      <c r="A9" t="s">
        <v>1335</v>
      </c>
      <c r="B9" t="s">
        <v>1328</v>
      </c>
      <c r="C9" s="14">
        <v>0.53520000000000001</v>
      </c>
      <c r="D9" s="28">
        <v>5.8090000000000002</v>
      </c>
      <c r="E9" s="47">
        <v>2.5489999999999999</v>
      </c>
      <c r="F9" s="1" t="str">
        <f>HYPERLINK("http://www.ncbi.nlm.nih.gov/pubmed/?term=Pik3r5","Pik3r5")</f>
        <v>Pik3r5</v>
      </c>
    </row>
    <row r="10" spans="1:6" x14ac:dyDescent="0.25">
      <c r="A10" t="s">
        <v>276</v>
      </c>
      <c r="B10" t="s">
        <v>1181</v>
      </c>
      <c r="C10" s="47">
        <v>2.7959999999999998</v>
      </c>
      <c r="D10" s="27">
        <v>4.8380000000000001</v>
      </c>
      <c r="E10" s="47">
        <v>3.4089999999999998</v>
      </c>
      <c r="F10" s="1" t="str">
        <f>HYPERLINK("http://www.ncbi.nlm.nih.gov/pubmed/?term=Plcg2","Plcg2")</f>
        <v>Plcg2</v>
      </c>
    </row>
    <row r="11" spans="1:6" x14ac:dyDescent="0.25">
      <c r="A11" t="s">
        <v>2023</v>
      </c>
      <c r="B11" t="s">
        <v>897</v>
      </c>
      <c r="C11" s="42">
        <v>4.37</v>
      </c>
      <c r="D11" s="27">
        <v>5.0970000000000004</v>
      </c>
      <c r="E11" s="27">
        <v>5.4119999999999999</v>
      </c>
      <c r="F11" s="1" t="str">
        <f>HYPERLINK("http://www.ncbi.nlm.nih.gov/pubmed/?term=Hras1","Hras1")</f>
        <v>Hras1</v>
      </c>
    </row>
    <row r="12" spans="1:6" x14ac:dyDescent="0.25">
      <c r="A12" t="s">
        <v>842</v>
      </c>
      <c r="B12" t="s">
        <v>1041</v>
      </c>
      <c r="C12" s="26">
        <v>6.5780000000000005E-2</v>
      </c>
      <c r="D12" s="47">
        <v>2.7519999999999998</v>
      </c>
      <c r="E12" s="27">
        <v>4.6470000000000002</v>
      </c>
      <c r="F12" s="1" t="str">
        <f>HYPERLINK("http://www.ncbi.nlm.nih.gov/pubmed/?term=Nfatc2","Nfatc2")</f>
        <v>Nfatc2</v>
      </c>
    </row>
    <row r="13" spans="1:6" x14ac:dyDescent="0.25">
      <c r="A13" t="s">
        <v>1958</v>
      </c>
      <c r="B13" t="s">
        <v>1965</v>
      </c>
      <c r="C13" s="27">
        <v>4.9290000000000003</v>
      </c>
      <c r="D13" s="27">
        <v>5.2320000000000002</v>
      </c>
      <c r="E13" s="28">
        <v>6.2359999999999998</v>
      </c>
      <c r="F13" s="1" t="str">
        <f>HYPERLINK("http://www.ncbi.nlm.nih.gov/pubmed/?term=Src","Src")</f>
        <v>Src</v>
      </c>
    </row>
    <row r="14" spans="1:6" x14ac:dyDescent="0.25">
      <c r="A14" t="s">
        <v>333</v>
      </c>
      <c r="B14" t="s">
        <v>1460</v>
      </c>
      <c r="C14" s="26">
        <v>0.44829999999999998</v>
      </c>
      <c r="D14" s="36">
        <v>2.1360000000000001</v>
      </c>
      <c r="E14" s="42">
        <v>3.8809999999999998</v>
      </c>
      <c r="F14" s="1" t="str">
        <f>HYPERLINK("http://www.ncbi.nlm.nih.gov/pubmed/?term=Pik3cb","Pik3cb")</f>
        <v>Pik3cb</v>
      </c>
    </row>
    <row r="15" spans="1:6" x14ac:dyDescent="0.25">
      <c r="A15" t="s">
        <v>1849</v>
      </c>
      <c r="B15" t="s">
        <v>703</v>
      </c>
      <c r="C15" s="26">
        <v>-7.85E-2</v>
      </c>
      <c r="D15" s="42">
        <v>3.8530000000000002</v>
      </c>
      <c r="E15" s="43">
        <v>8.1</v>
      </c>
      <c r="F15" s="1" t="str">
        <f>HYPERLINK("http://www.ncbi.nlm.nih.gov/pubmed/?term=Ptgs2","Ptgs2")</f>
        <v>Ptgs2</v>
      </c>
    </row>
    <row r="16" spans="1:6" x14ac:dyDescent="0.25">
      <c r="A16" t="s">
        <v>674</v>
      </c>
      <c r="B16" t="s">
        <v>1949</v>
      </c>
      <c r="C16" s="47">
        <v>2.6110000000000002</v>
      </c>
      <c r="D16" s="42">
        <v>4.2789999999999999</v>
      </c>
      <c r="E16" s="43">
        <v>6.8239999999999998</v>
      </c>
      <c r="F16" s="1" t="str">
        <f>HYPERLINK("http://www.ncbi.nlm.nih.gov/pubmed/?term=Rac2","Rac2")</f>
        <v>Rac2</v>
      </c>
    </row>
    <row r="17" spans="1:6" x14ac:dyDescent="0.25">
      <c r="A17" t="s">
        <v>909</v>
      </c>
      <c r="B17" t="s">
        <v>1766</v>
      </c>
      <c r="C17" s="14">
        <v>1.18</v>
      </c>
      <c r="D17" s="42">
        <v>4.4390000000000001</v>
      </c>
      <c r="E17" s="28">
        <v>6.1040000000000001</v>
      </c>
      <c r="F17" s="1" t="str">
        <f>HYPERLINK("http://www.ncbi.nlm.nih.gov/pubmed/?term=Pla2g4a","Pla2g4a")</f>
        <v>Pla2g4a</v>
      </c>
    </row>
    <row r="18" spans="1:6" x14ac:dyDescent="0.25">
      <c r="A18" t="s">
        <v>1004</v>
      </c>
      <c r="B18" t="s">
        <v>1240</v>
      </c>
      <c r="C18" s="27">
        <v>4.9240000000000004</v>
      </c>
      <c r="D18" s="27">
        <v>5.14</v>
      </c>
      <c r="E18" s="42">
        <v>3.9609999999999999</v>
      </c>
      <c r="F18" s="1" t="str">
        <f>HYPERLINK("http://www.ncbi.nlm.nih.gov/pubmed/?term=Nfat5","Nfat5")</f>
        <v>Nfat5</v>
      </c>
    </row>
    <row r="19" spans="1:6" x14ac:dyDescent="0.25">
      <c r="A19" t="s">
        <v>1097</v>
      </c>
      <c r="B19" t="s">
        <v>1251</v>
      </c>
      <c r="C19" s="28">
        <v>5.7690000000000001</v>
      </c>
      <c r="D19" s="27">
        <v>5.1139999999999999</v>
      </c>
      <c r="E19" s="27">
        <v>4.6520000000000001</v>
      </c>
      <c r="F19" s="1" t="str">
        <f>HYPERLINK("http://www.ncbi.nlm.nih.gov/pubmed/?term=Mapkapk2","Mapkapk2")</f>
        <v>Mapkapk2</v>
      </c>
    </row>
    <row r="20" spans="1:6" x14ac:dyDescent="0.25">
      <c r="A20" t="s">
        <v>78</v>
      </c>
      <c r="B20" t="s">
        <v>1182</v>
      </c>
      <c r="C20" s="27">
        <v>4.6639999999999997</v>
      </c>
      <c r="D20" s="27">
        <v>4.6269999999999998</v>
      </c>
      <c r="E20" s="47">
        <v>2.9020000000000001</v>
      </c>
      <c r="F20" s="1" t="str">
        <f>HYPERLINK("http://www.ncbi.nlm.nih.gov/pubmed/?term=Plcg1","Plcg1")</f>
        <v>Plcg1</v>
      </c>
    </row>
    <row r="21" spans="1:6" x14ac:dyDescent="0.25">
      <c r="A21" t="s">
        <v>2197</v>
      </c>
      <c r="B21" t="s">
        <v>1027</v>
      </c>
      <c r="C21" s="27">
        <v>5.4749999999999996</v>
      </c>
      <c r="D21" s="27">
        <v>5.3170000000000002</v>
      </c>
      <c r="E21" s="42">
        <v>3.907</v>
      </c>
      <c r="F21" s="1" t="str">
        <f>HYPERLINK("http://www.ncbi.nlm.nih.gov/pubmed/?term=Vegfa","Vegfa")</f>
        <v>Vegfa</v>
      </c>
    </row>
    <row r="22" spans="1:6" x14ac:dyDescent="0.25">
      <c r="A22" t="s">
        <v>1205</v>
      </c>
      <c r="B22" t="s">
        <v>1329</v>
      </c>
      <c r="C22" s="28">
        <v>5.6820000000000004</v>
      </c>
      <c r="D22" s="27">
        <v>5.0220000000000002</v>
      </c>
      <c r="E22" s="27">
        <v>4.7060000000000004</v>
      </c>
      <c r="F22" s="1" t="str">
        <f>HYPERLINK("http://www.ncbi.nlm.nih.gov/pubmed/?term=Pik3r2","Pik3r2")</f>
        <v>Pik3r2</v>
      </c>
    </row>
    <row r="23" spans="1:6" x14ac:dyDescent="0.25">
      <c r="A23" t="s">
        <v>731</v>
      </c>
      <c r="B23" t="s">
        <v>1330</v>
      </c>
      <c r="C23" s="27">
        <v>4.9180000000000001</v>
      </c>
      <c r="D23" s="27">
        <v>4.8079999999999998</v>
      </c>
      <c r="E23" s="42">
        <v>3.7410000000000001</v>
      </c>
      <c r="F23" s="1" t="str">
        <f>HYPERLINK("http://www.ncbi.nlm.nih.gov/pubmed/?term=Pik3r1","Pik3r1")</f>
        <v>Pik3r1</v>
      </c>
    </row>
    <row r="24" spans="1:6" x14ac:dyDescent="0.25">
      <c r="A24" t="s">
        <v>1902</v>
      </c>
      <c r="B24" t="s">
        <v>292</v>
      </c>
      <c r="C24" s="27">
        <v>5.4859999999999998</v>
      </c>
      <c r="D24" s="27">
        <v>5.1769999999999996</v>
      </c>
      <c r="E24" s="42">
        <v>4.3440000000000003</v>
      </c>
      <c r="F24" s="1" t="str">
        <f>HYPERLINK("http://www.ncbi.nlm.nih.gov/pubmed/?term=Mapk14","Mapk14")</f>
        <v>Mapk14</v>
      </c>
    </row>
    <row r="25" spans="1:6" x14ac:dyDescent="0.25">
      <c r="A25" t="s">
        <v>807</v>
      </c>
      <c r="B25" t="s">
        <v>1950</v>
      </c>
      <c r="C25" s="27">
        <v>5.1239999999999997</v>
      </c>
      <c r="D25" s="47">
        <v>3.4119999999999999</v>
      </c>
      <c r="E25" s="27">
        <v>5.2290000000000001</v>
      </c>
      <c r="F25" s="1" t="str">
        <f>HYPERLINK("http://www.ncbi.nlm.nih.gov/pubmed/?term=Rac3","Rac3")</f>
        <v>Rac3</v>
      </c>
    </row>
    <row r="26" spans="1:6" x14ac:dyDescent="0.25">
      <c r="A26" t="s">
        <v>1880</v>
      </c>
      <c r="B26" t="s">
        <v>1077</v>
      </c>
      <c r="C26" s="42">
        <v>3.6549999999999998</v>
      </c>
      <c r="D26" s="47">
        <v>3.3140000000000001</v>
      </c>
      <c r="E26" s="28">
        <v>6.2270000000000003</v>
      </c>
      <c r="F26" s="1" t="str">
        <f>HYPERLINK("http://www.ncbi.nlm.nih.gov/pubmed/?term=Prkca","Prkca")</f>
        <v>Prkca</v>
      </c>
    </row>
    <row r="27" spans="1:6" x14ac:dyDescent="0.25">
      <c r="A27" t="s">
        <v>159</v>
      </c>
      <c r="B27" t="s">
        <v>1644</v>
      </c>
      <c r="C27" s="43">
        <v>6.5579999999999998</v>
      </c>
      <c r="D27" s="27">
        <v>4.7640000000000002</v>
      </c>
      <c r="E27" s="27">
        <v>5.4039999999999999</v>
      </c>
      <c r="F27" s="1" t="str">
        <f>HYPERLINK("http://www.ncbi.nlm.nih.gov/pubmed/?term=Map2k1","Map2k1")</f>
        <v>Map2k1</v>
      </c>
    </row>
    <row r="28" spans="1:6" x14ac:dyDescent="0.25">
      <c r="A28" t="s">
        <v>1967</v>
      </c>
      <c r="B28" t="s">
        <v>898</v>
      </c>
      <c r="C28" s="27">
        <v>5.2279999999999998</v>
      </c>
      <c r="D28" s="42">
        <v>3.9319999999999999</v>
      </c>
      <c r="E28" s="42">
        <v>4.4470000000000001</v>
      </c>
      <c r="F28" s="1" t="str">
        <f>HYPERLINK("http://www.ncbi.nlm.nih.gov/pubmed/?term=Kras","Kras")</f>
        <v>Kras</v>
      </c>
    </row>
    <row r="29" spans="1:6" x14ac:dyDescent="0.25">
      <c r="A29" t="s">
        <v>1734</v>
      </c>
      <c r="B29" t="s">
        <v>388</v>
      </c>
      <c r="C29" s="27">
        <v>4.6269999999999998</v>
      </c>
      <c r="D29" s="47">
        <v>2.9380000000000002</v>
      </c>
      <c r="E29" s="42">
        <v>4.28</v>
      </c>
      <c r="F29" s="1" t="str">
        <f>HYPERLINK("http://www.ncbi.nlm.nih.gov/pubmed/?term=Sphk1","Sphk1")</f>
        <v>Sphk1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632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1098</v>
      </c>
      <c r="B5" t="s">
        <v>929</v>
      </c>
      <c r="C5" s="26">
        <v>-4.3019999999999996</v>
      </c>
      <c r="D5" s="50">
        <v>3.4460000000000002</v>
      </c>
      <c r="E5" s="4">
        <v>2.1880000000000002</v>
      </c>
      <c r="F5" s="1" t="str">
        <f>HYPERLINK("http://www.ncbi.nlm.nih.gov/pubmed/?term=Il10","Il10")</f>
        <v>Il10</v>
      </c>
    </row>
    <row r="6" spans="1:6" x14ac:dyDescent="0.25">
      <c r="A6" t="s">
        <v>1208</v>
      </c>
      <c r="B6" t="s">
        <v>587</v>
      </c>
      <c r="C6" s="44">
        <v>3.6619999999999999</v>
      </c>
      <c r="D6" s="31">
        <v>5.7629999999999999</v>
      </c>
      <c r="E6" s="44">
        <v>4.4850000000000003</v>
      </c>
      <c r="F6" s="1" t="str">
        <f>HYPERLINK("http://www.ncbi.nlm.nih.gov/pubmed/?term=H2-T22","H2-T22")</f>
        <v>H2-T22</v>
      </c>
    </row>
    <row r="7" spans="1:6" x14ac:dyDescent="0.25">
      <c r="A7" t="s">
        <v>85</v>
      </c>
      <c r="B7" t="s">
        <v>1966</v>
      </c>
      <c r="C7" s="5">
        <v>4.7370000000000001</v>
      </c>
      <c r="D7" s="6">
        <v>8.1150000000000002</v>
      </c>
      <c r="E7" s="6">
        <v>7.9050000000000002</v>
      </c>
      <c r="F7" s="1" t="str">
        <f>HYPERLINK("http://www.ncbi.nlm.nih.gov/pubmed/?term=H2-Q6","H2-Q6")</f>
        <v>H2-Q6</v>
      </c>
    </row>
    <row r="8" spans="1:6" x14ac:dyDescent="0.25">
      <c r="A8" t="s">
        <v>1524</v>
      </c>
      <c r="B8" t="s">
        <v>1499</v>
      </c>
      <c r="C8" s="26">
        <v>-3.9929999999999999</v>
      </c>
      <c r="D8" s="26">
        <v>-2.68</v>
      </c>
      <c r="E8" s="50">
        <v>3.4220000000000002</v>
      </c>
      <c r="F8" s="1" t="str">
        <f>HYPERLINK("http://www.ncbi.nlm.nih.gov/pubmed/?term=Il4","Il4")</f>
        <v>Il4</v>
      </c>
    </row>
    <row r="9" spans="1:6" x14ac:dyDescent="0.25">
      <c r="A9" t="s">
        <v>926</v>
      </c>
      <c r="B9" t="s">
        <v>1104</v>
      </c>
      <c r="C9" s="44">
        <v>3.8570000000000002</v>
      </c>
      <c r="D9" s="5">
        <v>4.992</v>
      </c>
      <c r="E9" s="31">
        <v>5.6529999999999996</v>
      </c>
      <c r="F9" s="1" t="str">
        <f>HYPERLINK("http://www.ncbi.nlm.nih.gov/pubmed/?term=H2-M3","H2-M3")</f>
        <v>H2-M3</v>
      </c>
    </row>
    <row r="10" spans="1:6" x14ac:dyDescent="0.25">
      <c r="A10" t="s">
        <v>1861</v>
      </c>
      <c r="B10" t="s">
        <v>1105</v>
      </c>
      <c r="C10" s="44">
        <v>4.3949999999999996</v>
      </c>
      <c r="D10" s="35">
        <v>6.8019999999999996</v>
      </c>
      <c r="E10" s="35">
        <v>7.444</v>
      </c>
      <c r="F10" s="1" t="str">
        <f>HYPERLINK("http://www.ncbi.nlm.nih.gov/pubmed/?term=H2-M2","H2-M2")</f>
        <v>H2-M2</v>
      </c>
    </row>
    <row r="11" spans="1:6" x14ac:dyDescent="0.25">
      <c r="A11" t="s">
        <v>164</v>
      </c>
      <c r="B11" t="s">
        <v>2130</v>
      </c>
      <c r="C11" s="26">
        <v>-2.2599999999999998</v>
      </c>
      <c r="D11" s="26">
        <v>-1.3340000000000001</v>
      </c>
      <c r="E11" s="44">
        <v>3.8769999999999998</v>
      </c>
      <c r="F11" s="1" t="str">
        <f>HYPERLINK("http://www.ncbi.nlm.nih.gov/pubmed/?term=Cd86","Cd86")</f>
        <v>Cd86</v>
      </c>
    </row>
    <row r="12" spans="1:6" x14ac:dyDescent="0.25">
      <c r="A12" t="s">
        <v>986</v>
      </c>
      <c r="B12" t="s">
        <v>2073</v>
      </c>
      <c r="C12" s="4">
        <v>2.4039999999999999</v>
      </c>
      <c r="D12" s="44">
        <v>4.0590000000000002</v>
      </c>
      <c r="E12" s="31">
        <v>6.069</v>
      </c>
      <c r="F12" s="1" t="str">
        <f>HYPERLINK("http://www.ncbi.nlm.nih.gov/pubmed/?term=Fas","Fas")</f>
        <v>Fas</v>
      </c>
    </row>
    <row r="13" spans="1:6" x14ac:dyDescent="0.25">
      <c r="A13" t="s">
        <v>1956</v>
      </c>
      <c r="B13" t="s">
        <v>1715</v>
      </c>
      <c r="C13" s="31">
        <v>5.9130000000000003</v>
      </c>
      <c r="D13" s="31">
        <v>5.9269999999999996</v>
      </c>
      <c r="E13" s="6">
        <v>8.0259999999999998</v>
      </c>
      <c r="F13" s="1" t="str">
        <f>HYPERLINK("http://www.ncbi.nlm.nih.gov/pubmed/?term=H2-DMb2","H2-DMb2")</f>
        <v>H2-DMb2</v>
      </c>
    </row>
    <row r="14" spans="1:6" x14ac:dyDescent="0.25">
      <c r="A14" t="s">
        <v>1491</v>
      </c>
      <c r="B14" t="s">
        <v>1428</v>
      </c>
      <c r="C14" s="26">
        <v>-0.41930000000000001</v>
      </c>
      <c r="D14" s="4">
        <v>2.2890000000000001</v>
      </c>
      <c r="E14" s="35">
        <v>6.6079999999999997</v>
      </c>
      <c r="F14" s="1" t="str">
        <f>HYPERLINK("http://www.ncbi.nlm.nih.gov/pubmed/?term=H2-Ob","H2-Ob")</f>
        <v>H2-Ob</v>
      </c>
    </row>
    <row r="15" spans="1:6" x14ac:dyDescent="0.25">
      <c r="A15" t="s">
        <v>1311</v>
      </c>
      <c r="B15" t="s">
        <v>1431</v>
      </c>
      <c r="C15" s="44">
        <v>4.4509999999999996</v>
      </c>
      <c r="D15" s="6">
        <v>8.4649999999999999</v>
      </c>
      <c r="E15" s="34">
        <v>8.5500000000000007</v>
      </c>
      <c r="F15" s="1" t="str">
        <f>HYPERLINK("http://www.ncbi.nlm.nih.gov/pubmed/?term=H2-Q7","H2-Q7")</f>
        <v>H2-Q7</v>
      </c>
    </row>
    <row r="16" spans="1:6" x14ac:dyDescent="0.25">
      <c r="A16" t="s">
        <v>1401</v>
      </c>
      <c r="B16" t="s">
        <v>591</v>
      </c>
      <c r="C16" s="49">
        <v>9.7219999999999995</v>
      </c>
      <c r="D16" s="49">
        <v>9.8309999999999995</v>
      </c>
      <c r="E16" s="43">
        <v>11.67</v>
      </c>
      <c r="F16" s="1" t="str">
        <f>HYPERLINK("http://www.ncbi.nlm.nih.gov/pubmed/?term=H2-Eb1","H2-Eb1")</f>
        <v>H2-Eb1</v>
      </c>
    </row>
    <row r="17" spans="1:6" x14ac:dyDescent="0.25">
      <c r="A17" t="s">
        <v>300</v>
      </c>
      <c r="B17" t="s">
        <v>809</v>
      </c>
      <c r="C17" s="34">
        <v>8.6720000000000006</v>
      </c>
      <c r="D17" s="49">
        <v>10.43</v>
      </c>
      <c r="E17" s="43">
        <v>10.72</v>
      </c>
      <c r="F17" s="1" t="str">
        <f>HYPERLINK("http://www.ncbi.nlm.nih.gov/pubmed/?term=H2-K1","H2-K1")</f>
        <v>H2-K1</v>
      </c>
    </row>
    <row r="18" spans="1:6" x14ac:dyDescent="0.25">
      <c r="A18" t="s">
        <v>216</v>
      </c>
      <c r="B18" t="s">
        <v>586</v>
      </c>
      <c r="C18" s="35">
        <v>6.7060000000000004</v>
      </c>
      <c r="D18" s="6">
        <v>7.649</v>
      </c>
      <c r="E18" s="6">
        <v>7.8150000000000004</v>
      </c>
      <c r="F18" s="1" t="str">
        <f>HYPERLINK("http://www.ncbi.nlm.nih.gov/pubmed/?term=H2-T23","H2-T23")</f>
        <v>H2-T23</v>
      </c>
    </row>
    <row r="19" spans="1:6" x14ac:dyDescent="0.25">
      <c r="A19" t="s">
        <v>2141</v>
      </c>
      <c r="B19" t="s">
        <v>157</v>
      </c>
      <c r="C19" s="4">
        <v>2.1930000000000001</v>
      </c>
      <c r="D19" s="44">
        <v>4.2409999999999997</v>
      </c>
      <c r="E19" s="5">
        <v>4.5410000000000004</v>
      </c>
      <c r="F19" s="1" t="str">
        <f>HYPERLINK("http://www.ncbi.nlm.nih.gov/pubmed/?term=H2-Q10","H2-Q10")</f>
        <v>H2-Q10</v>
      </c>
    </row>
    <row r="20" spans="1:6" x14ac:dyDescent="0.25">
      <c r="A20" t="s">
        <v>247</v>
      </c>
      <c r="B20" t="s">
        <v>265</v>
      </c>
      <c r="C20" s="6">
        <v>8.1630000000000003</v>
      </c>
      <c r="D20" s="49">
        <v>10.1</v>
      </c>
      <c r="E20" s="49">
        <v>10.33</v>
      </c>
      <c r="F20" s="1" t="str">
        <f>HYPERLINK("http://www.ncbi.nlm.nih.gov/pubmed/?term=H2-D1","H2-D1")</f>
        <v>H2-D1</v>
      </c>
    </row>
    <row r="21" spans="1:6" x14ac:dyDescent="0.25">
      <c r="A21" t="s">
        <v>1647</v>
      </c>
      <c r="B21" t="s">
        <v>2128</v>
      </c>
      <c r="C21" s="26">
        <v>-0.96909999999999996</v>
      </c>
      <c r="D21" s="50">
        <v>2.597</v>
      </c>
      <c r="E21" s="35">
        <v>6.5759999999999996</v>
      </c>
      <c r="F21" s="1" t="str">
        <f>HYPERLINK("http://www.ncbi.nlm.nih.gov/pubmed/?term=Cd80","Cd80")</f>
        <v>Cd80</v>
      </c>
    </row>
    <row r="22" spans="1:6" x14ac:dyDescent="0.25">
      <c r="A22" t="s">
        <v>1504</v>
      </c>
      <c r="B22" t="s">
        <v>1434</v>
      </c>
      <c r="C22" s="50">
        <v>3.0409999999999999</v>
      </c>
      <c r="D22" s="44">
        <v>3.6920000000000002</v>
      </c>
      <c r="E22" s="44">
        <v>3.9689999999999999</v>
      </c>
      <c r="F22" s="1" t="str">
        <f>HYPERLINK("http://www.ncbi.nlm.nih.gov/pubmed/?term=H2-Q2","H2-Q2")</f>
        <v>H2-Q2</v>
      </c>
    </row>
    <row r="23" spans="1:6" x14ac:dyDescent="0.25">
      <c r="A23" t="s">
        <v>1753</v>
      </c>
      <c r="B23" t="s">
        <v>252</v>
      </c>
      <c r="C23" s="5">
        <v>4.8380000000000001</v>
      </c>
      <c r="D23" s="5">
        <v>4.8330000000000002</v>
      </c>
      <c r="E23" s="35">
        <v>7.3019999999999996</v>
      </c>
      <c r="F23" s="1" t="str">
        <f>HYPERLINK("http://www.ncbi.nlm.nih.gov/pubmed/?term=Cd40","Cd40")</f>
        <v>Cd40</v>
      </c>
    </row>
    <row r="24" spans="1:6" x14ac:dyDescent="0.25">
      <c r="A24" t="s">
        <v>1324</v>
      </c>
      <c r="B24" t="s">
        <v>1429</v>
      </c>
      <c r="C24" s="5">
        <v>5.2809999999999997</v>
      </c>
      <c r="D24" s="5">
        <v>5.2389999999999999</v>
      </c>
      <c r="E24" s="6">
        <v>8.2189999999999994</v>
      </c>
      <c r="F24" s="1" t="str">
        <f>HYPERLINK("http://www.ncbi.nlm.nih.gov/pubmed/?term=H2-Oa","H2-Oa")</f>
        <v>H2-Oa</v>
      </c>
    </row>
    <row r="25" spans="1:6" x14ac:dyDescent="0.25">
      <c r="A25" t="s">
        <v>566</v>
      </c>
      <c r="B25" t="s">
        <v>727</v>
      </c>
      <c r="C25" s="26">
        <v>-0.22</v>
      </c>
      <c r="D25" s="26">
        <v>-1.9410000000000001</v>
      </c>
      <c r="E25" s="5">
        <v>5.1689999999999996</v>
      </c>
      <c r="F25" s="1" t="str">
        <f>HYPERLINK("http://www.ncbi.nlm.nih.gov/pubmed/?term=Ctla4","Ctla4")</f>
        <v>Ctla4</v>
      </c>
    </row>
    <row r="26" spans="1:6" x14ac:dyDescent="0.25">
      <c r="A26" t="s">
        <v>528</v>
      </c>
      <c r="B26" t="s">
        <v>1739</v>
      </c>
      <c r="C26" s="49">
        <v>10.41</v>
      </c>
      <c r="D26" s="49">
        <v>10.1</v>
      </c>
      <c r="E26" s="43">
        <v>12.37</v>
      </c>
      <c r="F26" s="1" t="str">
        <f>HYPERLINK("http://www.ncbi.nlm.nih.gov/pubmed/?term=H2-Aa","H2-Aa")</f>
        <v>H2-Aa</v>
      </c>
    </row>
    <row r="27" spans="1:6" x14ac:dyDescent="0.25">
      <c r="A27" t="s">
        <v>1974</v>
      </c>
      <c r="B27" t="s">
        <v>1270</v>
      </c>
      <c r="C27" s="43">
        <v>10.67</v>
      </c>
      <c r="D27" s="49">
        <v>10.31</v>
      </c>
      <c r="E27" s="43">
        <v>12.36</v>
      </c>
      <c r="F27" s="1" t="str">
        <f>HYPERLINK("http://www.ncbi.nlm.nih.gov/pubmed/?term=H2-Ab1","H2-Ab1")</f>
        <v>H2-Ab1</v>
      </c>
    </row>
    <row r="28" spans="1:6" x14ac:dyDescent="0.25">
      <c r="A28" t="s">
        <v>1468</v>
      </c>
      <c r="B28" t="s">
        <v>1716</v>
      </c>
      <c r="C28" s="5">
        <v>5.3959999999999999</v>
      </c>
      <c r="D28" s="5">
        <v>5.0060000000000002</v>
      </c>
      <c r="E28" s="35">
        <v>6.9</v>
      </c>
      <c r="F28" s="1" t="str">
        <f>HYPERLINK("http://www.ncbi.nlm.nih.gov/pubmed/?term=H2-DMb1","H2-DMb1")</f>
        <v>H2-DMb1</v>
      </c>
    </row>
    <row r="29" spans="1:6" x14ac:dyDescent="0.25">
      <c r="A29" t="s">
        <v>865</v>
      </c>
      <c r="B29" t="s">
        <v>1044</v>
      </c>
      <c r="C29" s="35">
        <v>6.5350000000000001</v>
      </c>
      <c r="D29" s="5">
        <v>4.9409999999999998</v>
      </c>
      <c r="E29" s="31">
        <v>6.3239999999999998</v>
      </c>
      <c r="F29" s="1" t="str">
        <f>HYPERLINK("http://www.ncbi.nlm.nih.gov/pubmed/?term=H2-DMa","H2-DMa")</f>
        <v>H2-DMa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180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820</v>
      </c>
      <c r="B5" t="s">
        <v>939</v>
      </c>
      <c r="C5" s="14">
        <v>0.78239999999999998</v>
      </c>
      <c r="D5" s="42">
        <v>4.2830000000000004</v>
      </c>
      <c r="E5" s="47">
        <v>2.6349999999999998</v>
      </c>
      <c r="F5" s="1" t="str">
        <f>HYPERLINK("http://www.ncbi.nlm.nih.gov/pubmed/?term=Chdh","Chdh")</f>
        <v>Chdh</v>
      </c>
    </row>
    <row r="6" spans="1:6" x14ac:dyDescent="0.25">
      <c r="A6" t="s">
        <v>1927</v>
      </c>
      <c r="B6" t="s">
        <v>1293</v>
      </c>
      <c r="F6" s="1" t="str">
        <f>HYPERLINK("http://www.ncbi.nlm.nih.gov/pubmed/?term=None","None")</f>
        <v>None</v>
      </c>
    </row>
    <row r="7" spans="1:6" x14ac:dyDescent="0.25">
      <c r="A7" t="s">
        <v>2090</v>
      </c>
      <c r="B7" t="s">
        <v>1954</v>
      </c>
      <c r="C7" s="26">
        <v>-1.9259999999999999</v>
      </c>
      <c r="D7" s="47">
        <v>3.4990000000000001</v>
      </c>
      <c r="E7" s="27">
        <v>5.2210000000000001</v>
      </c>
      <c r="F7" s="1" t="str">
        <f>HYPERLINK("http://www.ncbi.nlm.nih.gov/pubmed/?term=Tdh","Tdh")</f>
        <v>Tdh</v>
      </c>
    </row>
    <row r="8" spans="1:6" x14ac:dyDescent="0.25">
      <c r="A8" t="s">
        <v>115</v>
      </c>
      <c r="B8" t="s">
        <v>383</v>
      </c>
      <c r="C8" s="26">
        <v>-2.5710000000000002</v>
      </c>
      <c r="D8" s="26">
        <v>-1.036</v>
      </c>
      <c r="E8" s="42">
        <v>3.5790000000000002</v>
      </c>
      <c r="F8" s="1" t="str">
        <f>HYPERLINK("http://www.ncbi.nlm.nih.gov/pubmed/?term=Alas2","Alas2")</f>
        <v>Alas2</v>
      </c>
    </row>
    <row r="9" spans="1:6" x14ac:dyDescent="0.25">
      <c r="A9" t="s">
        <v>1219</v>
      </c>
      <c r="B9" t="s">
        <v>1126</v>
      </c>
      <c r="C9" s="47">
        <v>3.15</v>
      </c>
      <c r="D9" s="42">
        <v>3.5350000000000001</v>
      </c>
      <c r="E9" s="42">
        <v>4.1029999999999998</v>
      </c>
      <c r="F9" s="1" t="str">
        <f>HYPERLINK("http://www.ncbi.nlm.nih.gov/pubmed/?term=Shmt2","Shmt2")</f>
        <v>Shmt2</v>
      </c>
    </row>
    <row r="10" spans="1:6" x14ac:dyDescent="0.25">
      <c r="A10" t="s">
        <v>2201</v>
      </c>
      <c r="B10" t="s">
        <v>1687</v>
      </c>
      <c r="C10" s="42">
        <v>3.61</v>
      </c>
      <c r="D10" s="27">
        <v>4.9009999999999998</v>
      </c>
      <c r="E10" s="47">
        <v>3.2240000000000002</v>
      </c>
      <c r="F10" s="1" t="str">
        <f>HYPERLINK("http://www.ncbi.nlm.nih.gov/pubmed/?term=Bpgm","Bpgm")</f>
        <v>Bpgm</v>
      </c>
    </row>
    <row r="11" spans="1:6" x14ac:dyDescent="0.25">
      <c r="A11" t="s">
        <v>356</v>
      </c>
      <c r="B11" t="s">
        <v>892</v>
      </c>
      <c r="C11" s="42">
        <v>3.7080000000000002</v>
      </c>
      <c r="D11" s="47">
        <v>3.0630000000000002</v>
      </c>
      <c r="E11" s="36">
        <v>2.3170000000000002</v>
      </c>
      <c r="F11" s="1" t="str">
        <f>HYPERLINK("http://www.ncbi.nlm.nih.gov/pubmed/?term=Srr","Srr")</f>
        <v>Srr</v>
      </c>
    </row>
    <row r="12" spans="1:6" x14ac:dyDescent="0.25">
      <c r="A12" t="s">
        <v>1062</v>
      </c>
      <c r="B12" t="s">
        <v>999</v>
      </c>
      <c r="C12" s="42">
        <v>3.653</v>
      </c>
      <c r="D12" s="14">
        <v>1.4139999999999999</v>
      </c>
      <c r="E12" s="14">
        <v>1.19</v>
      </c>
      <c r="F12" s="1" t="str">
        <f>HYPERLINK("http://www.ncbi.nlm.nih.gov/pubmed/?term=Pgam2","Pgam2")</f>
        <v>Pgam2</v>
      </c>
    </row>
    <row r="13" spans="1:6" x14ac:dyDescent="0.25">
      <c r="A13" t="s">
        <v>1645</v>
      </c>
      <c r="B13" t="s">
        <v>328</v>
      </c>
      <c r="C13" s="43">
        <v>7.7460000000000004</v>
      </c>
      <c r="D13" s="42">
        <v>4.3209999999999997</v>
      </c>
      <c r="E13" s="42">
        <v>3.7690000000000001</v>
      </c>
      <c r="F13" s="1" t="str">
        <f>HYPERLINK("http://www.ncbi.nlm.nih.gov/pubmed/?term=Psat1","Psat1")</f>
        <v>Psat1</v>
      </c>
    </row>
    <row r="14" spans="1:6" x14ac:dyDescent="0.25">
      <c r="A14" t="s">
        <v>476</v>
      </c>
      <c r="B14" t="s">
        <v>2194</v>
      </c>
      <c r="C14" s="28">
        <v>5.8730000000000002</v>
      </c>
      <c r="D14" s="42">
        <v>4.1980000000000004</v>
      </c>
      <c r="E14" s="47">
        <v>3.476</v>
      </c>
      <c r="F14" s="1" t="str">
        <f>HYPERLINK("http://www.ncbi.nlm.nih.gov/pubmed/?term=Aldh7a1","Aldh7a1")</f>
        <v>Aldh7a1</v>
      </c>
    </row>
    <row r="15" spans="1:6" x14ac:dyDescent="0.25">
      <c r="A15" t="s">
        <v>1419</v>
      </c>
      <c r="B15" t="s">
        <v>1095</v>
      </c>
      <c r="C15" s="36">
        <v>1.913</v>
      </c>
      <c r="D15" s="36">
        <v>1.528</v>
      </c>
      <c r="E15" s="42">
        <v>4.2119999999999997</v>
      </c>
      <c r="F15" s="1" t="str">
        <f>HYPERLINK("http://www.ncbi.nlm.nih.gov/pubmed/?term=Maoa","Maoa")</f>
        <v>Maoa</v>
      </c>
    </row>
    <row r="16" spans="1:6" x14ac:dyDescent="0.25">
      <c r="A16" t="s">
        <v>2068</v>
      </c>
      <c r="B16" t="s">
        <v>170</v>
      </c>
      <c r="C16" s="27">
        <v>5.0229999999999997</v>
      </c>
      <c r="D16" s="27">
        <v>4.585</v>
      </c>
      <c r="E16" s="43">
        <v>7.29</v>
      </c>
      <c r="F16" s="1" t="str">
        <f>HYPERLINK("http://www.ncbi.nlm.nih.gov/pubmed/?term=Alas1","Alas1")</f>
        <v>Alas1</v>
      </c>
    </row>
    <row r="17" spans="1:6" x14ac:dyDescent="0.25">
      <c r="A17" t="s">
        <v>475</v>
      </c>
      <c r="B17" t="s">
        <v>952</v>
      </c>
      <c r="C17" s="43">
        <v>6.806</v>
      </c>
      <c r="D17" s="28">
        <v>5.6059999999999999</v>
      </c>
      <c r="E17" s="43">
        <v>7.8689999999999998</v>
      </c>
      <c r="F17" s="1" t="str">
        <f>HYPERLINK("http://www.ncbi.nlm.nih.gov/pubmed/?term=Phgdh","Phgdh")</f>
        <v>Phgdh</v>
      </c>
    </row>
    <row r="18" spans="1:6" x14ac:dyDescent="0.25">
      <c r="A18" t="s">
        <v>305</v>
      </c>
      <c r="B18" t="s">
        <v>409</v>
      </c>
      <c r="C18" s="27">
        <v>5.1879999999999997</v>
      </c>
      <c r="D18" s="36">
        <v>2.3679999999999999</v>
      </c>
      <c r="E18" s="42">
        <v>4.2380000000000004</v>
      </c>
      <c r="F18" s="1" t="str">
        <f>HYPERLINK("http://www.ncbi.nlm.nih.gov/pubmed/?term=Gcat","Gcat")</f>
        <v>Gcat</v>
      </c>
    </row>
    <row r="19" spans="1:6" x14ac:dyDescent="0.25">
      <c r="A19" t="s">
        <v>581</v>
      </c>
      <c r="B19" t="s">
        <v>1127</v>
      </c>
      <c r="C19" s="42">
        <v>3.851</v>
      </c>
      <c r="D19" s="36">
        <v>2.3039999999999998</v>
      </c>
      <c r="E19" s="42">
        <v>3.7</v>
      </c>
      <c r="F19" s="1" t="str">
        <f>HYPERLINK("http://www.ncbi.nlm.nih.gov/pubmed/?term=Shmt1","Shmt1")</f>
        <v>Shmt1</v>
      </c>
    </row>
    <row r="20" spans="1:6" x14ac:dyDescent="0.25">
      <c r="A20" t="s">
        <v>2038</v>
      </c>
      <c r="B20" t="s">
        <v>1848</v>
      </c>
      <c r="C20" s="28">
        <v>5.5650000000000004</v>
      </c>
      <c r="D20" s="26">
        <v>-1.1339999999999999</v>
      </c>
      <c r="E20" s="14">
        <v>1.149</v>
      </c>
      <c r="F20" s="1" t="str">
        <f>HYPERLINK("http://www.ncbi.nlm.nih.gov/pubmed/?term=Cth","Cth")</f>
        <v>Cth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1877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1785</v>
      </c>
      <c r="B5" t="s">
        <v>1611</v>
      </c>
      <c r="C5" s="45">
        <v>5.9630000000000001</v>
      </c>
      <c r="D5" s="2">
        <v>6.6159999999999997</v>
      </c>
      <c r="E5" s="43">
        <v>9.0079999999999991</v>
      </c>
      <c r="F5" s="1" t="str">
        <f>HYPERLINK("http://www.ncbi.nlm.nih.gov/pubmed/?term=Hagh","Hagh")</f>
        <v>Hagh</v>
      </c>
    </row>
    <row r="6" spans="1:6" x14ac:dyDescent="0.25">
      <c r="A6" t="s">
        <v>338</v>
      </c>
      <c r="B6" t="s">
        <v>573</v>
      </c>
      <c r="C6" s="26">
        <v>-2.6819999999999999</v>
      </c>
      <c r="D6" s="26">
        <v>-0.14799999999999999</v>
      </c>
      <c r="E6" s="33">
        <v>4.702</v>
      </c>
      <c r="F6" s="1" t="str">
        <f>HYPERLINK("http://www.ncbi.nlm.nih.gov/pubmed/?term=Pck1","Pck1")</f>
        <v>Pck1</v>
      </c>
    </row>
    <row r="7" spans="1:6" x14ac:dyDescent="0.25">
      <c r="A7" t="s">
        <v>127</v>
      </c>
      <c r="B7" t="s">
        <v>1483</v>
      </c>
      <c r="C7" s="23">
        <v>2.0920000000000001</v>
      </c>
      <c r="D7" s="23">
        <v>2.2069999999999999</v>
      </c>
      <c r="E7" s="22">
        <v>4.4569999999999999</v>
      </c>
      <c r="F7" s="1" t="str">
        <f>HYPERLINK("http://www.ncbi.nlm.nih.gov/pubmed/?term=Acss2","Acss2")</f>
        <v>Acss2</v>
      </c>
    </row>
    <row r="8" spans="1:6" x14ac:dyDescent="0.25">
      <c r="A8" t="s">
        <v>1125</v>
      </c>
      <c r="B8" t="s">
        <v>1019</v>
      </c>
      <c r="C8" s="22">
        <v>4.0609999999999999</v>
      </c>
      <c r="D8" s="22">
        <v>4.2919999999999998</v>
      </c>
      <c r="E8" s="45">
        <v>6.4169999999999998</v>
      </c>
      <c r="F8" s="1" t="str">
        <f>HYPERLINK("http://www.ncbi.nlm.nih.gov/pubmed/?term=Me1","Me1")</f>
        <v>Me1</v>
      </c>
    </row>
    <row r="9" spans="1:6" x14ac:dyDescent="0.25">
      <c r="A9" t="s">
        <v>635</v>
      </c>
      <c r="B9" t="s">
        <v>942</v>
      </c>
      <c r="C9" s="26">
        <v>-2.0369999999999999</v>
      </c>
      <c r="D9" s="18">
        <v>3.0670000000000002</v>
      </c>
      <c r="E9" s="33">
        <v>5.0910000000000002</v>
      </c>
      <c r="F9" s="1" t="str">
        <f>HYPERLINK("http://www.ncbi.nlm.nih.gov/pubmed/?term=Acacb","Acacb")</f>
        <v>Acacb</v>
      </c>
    </row>
    <row r="10" spans="1:6" x14ac:dyDescent="0.25">
      <c r="A10" t="s">
        <v>1248</v>
      </c>
      <c r="B10" t="s">
        <v>2158</v>
      </c>
      <c r="C10" s="33">
        <v>5.4740000000000002</v>
      </c>
      <c r="D10" s="45">
        <v>6.3890000000000002</v>
      </c>
      <c r="E10" s="22">
        <v>3.6019999999999999</v>
      </c>
      <c r="F10" s="1" t="str">
        <f>HYPERLINK("http://www.ncbi.nlm.nih.gov/pubmed/?term=Aldh2","Aldh2")</f>
        <v>Aldh2</v>
      </c>
    </row>
    <row r="11" spans="1:6" x14ac:dyDescent="0.25">
      <c r="A11" t="s">
        <v>154</v>
      </c>
      <c r="B11" t="s">
        <v>1133</v>
      </c>
      <c r="C11" s="22">
        <v>3.9319999999999999</v>
      </c>
      <c r="D11" s="33">
        <v>4.6840000000000002</v>
      </c>
      <c r="E11" s="22">
        <v>3.6539999999999999</v>
      </c>
      <c r="F11" s="1" t="str">
        <f>HYPERLINK("http://www.ncbi.nlm.nih.gov/pubmed/?term=Haghl","Haghl")</f>
        <v>Haghl</v>
      </c>
    </row>
    <row r="12" spans="1:6" x14ac:dyDescent="0.25">
      <c r="A12" t="s">
        <v>2159</v>
      </c>
      <c r="B12" t="s">
        <v>1242</v>
      </c>
      <c r="C12" s="18">
        <v>3.0270000000000001</v>
      </c>
      <c r="D12" s="18">
        <v>3.383</v>
      </c>
      <c r="E12" s="13">
        <v>0.95250000000000001</v>
      </c>
      <c r="F12" s="1" t="str">
        <f>HYPERLINK("http://www.ncbi.nlm.nih.gov/pubmed/?term=Akr1b10","Akr1b10")</f>
        <v>Akr1b10</v>
      </c>
    </row>
    <row r="13" spans="1:6" x14ac:dyDescent="0.25">
      <c r="A13" t="s">
        <v>683</v>
      </c>
      <c r="B13" t="s">
        <v>1793</v>
      </c>
      <c r="C13" s="45">
        <v>6.4889999999999999</v>
      </c>
      <c r="D13" s="45">
        <v>6.3239999999999998</v>
      </c>
      <c r="E13" s="33">
        <v>5.26</v>
      </c>
      <c r="F13" s="1" t="str">
        <f>HYPERLINK("http://www.ncbi.nlm.nih.gov/pubmed/?term=Aldh3a2","Aldh3a2")</f>
        <v>Aldh3a2</v>
      </c>
    </row>
    <row r="14" spans="1:6" x14ac:dyDescent="0.25">
      <c r="A14" t="s">
        <v>1310</v>
      </c>
      <c r="B14" t="s">
        <v>1584</v>
      </c>
      <c r="C14" s="45">
        <v>5.6710000000000003</v>
      </c>
      <c r="D14" s="33">
        <v>4.7119999999999997</v>
      </c>
      <c r="E14" s="18">
        <v>3.0760000000000001</v>
      </c>
      <c r="F14" s="1" t="str">
        <f>HYPERLINK("http://www.ncbi.nlm.nih.gov/pubmed/?term=Glo1","Glo1")</f>
        <v>Glo1</v>
      </c>
    </row>
    <row r="15" spans="1:6" x14ac:dyDescent="0.25">
      <c r="A15" t="s">
        <v>369</v>
      </c>
      <c r="B15" t="s">
        <v>1763</v>
      </c>
      <c r="C15" s="45">
        <v>6.18</v>
      </c>
      <c r="D15" s="33">
        <v>4.8550000000000004</v>
      </c>
      <c r="E15" s="18">
        <v>3.4449999999999998</v>
      </c>
      <c r="F15" s="1" t="str">
        <f>HYPERLINK("http://www.ncbi.nlm.nih.gov/pubmed/?term=Me2","Me2")</f>
        <v>Me2</v>
      </c>
    </row>
    <row r="16" spans="1:6" x14ac:dyDescent="0.25">
      <c r="A16" t="s">
        <v>530</v>
      </c>
      <c r="B16" t="s">
        <v>0</v>
      </c>
      <c r="C16" s="22">
        <v>3.7170000000000001</v>
      </c>
      <c r="D16" s="18">
        <v>3.0630000000000002</v>
      </c>
      <c r="E16" s="22">
        <v>4.2789999999999999</v>
      </c>
      <c r="F16" s="1" t="str">
        <f>HYPERLINK("http://www.ncbi.nlm.nih.gov/pubmed/?term=Pcx","Pcx")</f>
        <v>Pcx</v>
      </c>
    </row>
    <row r="17" spans="1:6" x14ac:dyDescent="0.25">
      <c r="A17" t="s">
        <v>1366</v>
      </c>
      <c r="B17" t="s">
        <v>97</v>
      </c>
      <c r="C17" s="33">
        <v>5.3230000000000004</v>
      </c>
      <c r="D17" s="22">
        <v>3.5150000000000001</v>
      </c>
      <c r="E17" s="33">
        <v>4.758</v>
      </c>
      <c r="F17" s="1" t="str">
        <f>HYPERLINK("http://www.ncbi.nlm.nih.gov/pubmed/?term=Acat1","Acat1")</f>
        <v>Acat1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1570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1212</v>
      </c>
      <c r="B5" t="s">
        <v>1935</v>
      </c>
      <c r="C5" s="26">
        <v>-0.58730000000000004</v>
      </c>
      <c r="D5" s="43">
        <v>6.1760000000000002</v>
      </c>
      <c r="E5" s="22">
        <v>2.665</v>
      </c>
      <c r="F5" s="1" t="str">
        <f>HYPERLINK("http://www.ncbi.nlm.nih.gov/pubmed/?term=Plcb2","Plcb2")</f>
        <v>Plcb2</v>
      </c>
    </row>
    <row r="6" spans="1:6" x14ac:dyDescent="0.25">
      <c r="A6" t="s">
        <v>2019</v>
      </c>
      <c r="B6" t="s">
        <v>1441</v>
      </c>
      <c r="C6" s="26">
        <v>-2.8170000000000002</v>
      </c>
      <c r="D6" s="3">
        <v>4.4480000000000004</v>
      </c>
      <c r="E6" s="22">
        <v>2.7440000000000002</v>
      </c>
      <c r="F6" s="1" t="str">
        <f>HYPERLINK("http://www.ncbi.nlm.nih.gov/pubmed/?term=Klk1","Klk1")</f>
        <v>Klk1</v>
      </c>
    </row>
    <row r="7" spans="1:6" x14ac:dyDescent="0.25">
      <c r="A7" t="s">
        <v>1089</v>
      </c>
      <c r="B7" t="s">
        <v>184</v>
      </c>
      <c r="C7" s="21">
        <v>1.4219999999999999</v>
      </c>
      <c r="D7" s="41">
        <v>2.3879999999999999</v>
      </c>
      <c r="E7" s="22">
        <v>3.488</v>
      </c>
      <c r="F7" s="1" t="str">
        <f>HYPERLINK("http://www.ncbi.nlm.nih.gov/pubmed/?term=Bdkrb2","Bdkrb2")</f>
        <v>Bdkrb2</v>
      </c>
    </row>
    <row r="8" spans="1:6" x14ac:dyDescent="0.25">
      <c r="A8" t="s">
        <v>128</v>
      </c>
      <c r="B8" t="s">
        <v>1608</v>
      </c>
      <c r="C8" s="41">
        <v>2.246</v>
      </c>
      <c r="D8" s="3">
        <v>3.8290000000000002</v>
      </c>
      <c r="E8" s="16">
        <v>5.46</v>
      </c>
      <c r="F8" s="1" t="str">
        <f>HYPERLINK("http://www.ncbi.nlm.nih.gov/pubmed/?term=Vdr","Vdr")</f>
        <v>Vdr</v>
      </c>
    </row>
    <row r="9" spans="1:6" x14ac:dyDescent="0.25">
      <c r="A9" t="s">
        <v>66</v>
      </c>
      <c r="B9" t="s">
        <v>385</v>
      </c>
      <c r="C9" s="41">
        <v>1.5640000000000001</v>
      </c>
      <c r="D9" s="41">
        <v>1.84</v>
      </c>
      <c r="E9" s="22">
        <v>3.476</v>
      </c>
      <c r="F9" s="1" t="str">
        <f>HYPERLINK("http://www.ncbi.nlm.nih.gov/pubmed/?term=Dnm3","Dnm3")</f>
        <v>Dnm3</v>
      </c>
    </row>
    <row r="10" spans="1:6" x14ac:dyDescent="0.25">
      <c r="A10" t="s">
        <v>1612</v>
      </c>
      <c r="B10" t="s">
        <v>119</v>
      </c>
      <c r="C10" s="26">
        <v>-3.6760000000000002</v>
      </c>
      <c r="D10" s="26">
        <v>-0.3236</v>
      </c>
      <c r="E10" s="3">
        <v>3.6549999999999998</v>
      </c>
      <c r="F10" s="1" t="str">
        <f>HYPERLINK("http://www.ncbi.nlm.nih.gov/pubmed/?term=Klk1b11","Klk1b11")</f>
        <v>Klk1b11</v>
      </c>
    </row>
    <row r="11" spans="1:6" x14ac:dyDescent="0.25">
      <c r="A11" t="s">
        <v>188</v>
      </c>
      <c r="B11" t="s">
        <v>2150</v>
      </c>
      <c r="C11" s="26">
        <v>-3.2269999999999999</v>
      </c>
      <c r="D11" s="21">
        <v>0.84530000000000005</v>
      </c>
      <c r="E11" s="3">
        <v>3.9169999999999998</v>
      </c>
      <c r="F11" s="1" t="str">
        <f>HYPERLINK("http://www.ncbi.nlm.nih.gov/pubmed/?term=Klk1b26","Klk1b26")</f>
        <v>Klk1b26</v>
      </c>
    </row>
    <row r="12" spans="1:6" x14ac:dyDescent="0.25">
      <c r="A12" t="s">
        <v>1506</v>
      </c>
      <c r="B12" t="s">
        <v>1331</v>
      </c>
      <c r="C12" s="16">
        <v>4.74</v>
      </c>
      <c r="D12" s="3">
        <v>3.9580000000000002</v>
      </c>
      <c r="E12" s="22">
        <v>2.786</v>
      </c>
      <c r="F12" s="1" t="str">
        <f>HYPERLINK("http://www.ncbi.nlm.nih.gov/pubmed/?term=Prkacb","Prkacb")</f>
        <v>Prkacb</v>
      </c>
    </row>
    <row r="13" spans="1:6" x14ac:dyDescent="0.25">
      <c r="A13" t="s">
        <v>49</v>
      </c>
      <c r="B13" t="s">
        <v>1564</v>
      </c>
      <c r="C13" s="16">
        <v>4.6529999999999996</v>
      </c>
      <c r="D13" s="3">
        <v>3.782</v>
      </c>
      <c r="E13" s="41">
        <v>2.4590000000000001</v>
      </c>
      <c r="F13" s="1" t="str">
        <f>HYPERLINK("http://www.ncbi.nlm.nih.gov/pubmed/?term=Gnaq","Gnaq")</f>
        <v>Gnaq</v>
      </c>
    </row>
    <row r="14" spans="1:6" x14ac:dyDescent="0.25">
      <c r="A14" t="s">
        <v>973</v>
      </c>
      <c r="B14" t="s">
        <v>1936</v>
      </c>
      <c r="C14" s="16">
        <v>4.9489999999999998</v>
      </c>
      <c r="D14" s="3">
        <v>4.2130000000000001</v>
      </c>
      <c r="E14" s="43">
        <v>5.6050000000000004</v>
      </c>
      <c r="F14" s="1" t="str">
        <f>HYPERLINK("http://www.ncbi.nlm.nih.gov/pubmed/?term=Plcb4","Plcb4")</f>
        <v>Plcb4</v>
      </c>
    </row>
    <row r="15" spans="1:6" x14ac:dyDescent="0.25">
      <c r="A15" t="s">
        <v>1706</v>
      </c>
      <c r="B15" t="s">
        <v>906</v>
      </c>
      <c r="C15" s="43">
        <v>6.8090000000000002</v>
      </c>
      <c r="D15" s="43">
        <v>5.9749999999999996</v>
      </c>
      <c r="E15" s="43">
        <v>7.0019999999999998</v>
      </c>
      <c r="F15" s="1" t="str">
        <f>HYPERLINK("http://www.ncbi.nlm.nih.gov/pubmed/?term=Cltc","Cltc")</f>
        <v>Cltc</v>
      </c>
    </row>
    <row r="16" spans="1:6" x14ac:dyDescent="0.25">
      <c r="A16" t="s">
        <v>1880</v>
      </c>
      <c r="B16" t="s">
        <v>1077</v>
      </c>
      <c r="C16" s="3">
        <v>3.6549999999999998</v>
      </c>
      <c r="D16" s="22">
        <v>3.3140000000000001</v>
      </c>
      <c r="E16" s="43">
        <v>6.2270000000000003</v>
      </c>
      <c r="F16" s="1" t="str">
        <f>HYPERLINK("http://www.ncbi.nlm.nih.gov/pubmed/?term=Prkca","Prkca")</f>
        <v>Prkca</v>
      </c>
    </row>
    <row r="17" spans="1:6" x14ac:dyDescent="0.25">
      <c r="A17" t="s">
        <v>1290</v>
      </c>
      <c r="B17" t="s">
        <v>1304</v>
      </c>
      <c r="C17" s="43">
        <v>6.2549999999999999</v>
      </c>
      <c r="D17" s="22">
        <v>3.4340000000000002</v>
      </c>
      <c r="E17" s="16">
        <v>5.0910000000000002</v>
      </c>
      <c r="F17" s="1" t="str">
        <f>HYPERLINK("http://www.ncbi.nlm.nih.gov/pubmed/?term=Fxyd2","Fxyd2")</f>
        <v>Fxyd2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876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1513</v>
      </c>
      <c r="B5" t="s">
        <v>1569</v>
      </c>
      <c r="C5" s="26">
        <v>-1.784</v>
      </c>
      <c r="D5" s="43">
        <v>5.5549999999999997</v>
      </c>
      <c r="E5" s="16">
        <v>5.4139999999999997</v>
      </c>
      <c r="F5" s="1" t="str">
        <f>HYPERLINK("http://www.ncbi.nlm.nih.gov/pubmed/?term=Atp1a2","Atp1a2")</f>
        <v>Atp1a2</v>
      </c>
    </row>
    <row r="6" spans="1:6" x14ac:dyDescent="0.25">
      <c r="A6" t="s">
        <v>99</v>
      </c>
      <c r="B6" t="s">
        <v>1087</v>
      </c>
      <c r="C6" s="41">
        <v>2.407</v>
      </c>
      <c r="D6" s="43">
        <v>7.04</v>
      </c>
      <c r="E6" s="43">
        <v>6.2859999999999996</v>
      </c>
      <c r="F6" s="1" t="str">
        <f>HYPERLINK("http://www.ncbi.nlm.nih.gov/pubmed/?term=Atp1b1","Atp1b1")</f>
        <v>Atp1b1</v>
      </c>
    </row>
    <row r="7" spans="1:6" x14ac:dyDescent="0.25">
      <c r="A7" t="s">
        <v>1835</v>
      </c>
      <c r="B7" t="s">
        <v>740</v>
      </c>
      <c r="C7" s="22">
        <v>2.8490000000000002</v>
      </c>
      <c r="D7" s="16">
        <v>4.6210000000000004</v>
      </c>
      <c r="E7" s="16">
        <v>5.0949999999999998</v>
      </c>
      <c r="F7" s="1" t="str">
        <f>HYPERLINK("http://www.ncbi.nlm.nih.gov/pubmed/?term=Slc25a10","Slc25a10")</f>
        <v>Slc25a10</v>
      </c>
    </row>
    <row r="8" spans="1:6" x14ac:dyDescent="0.25">
      <c r="A8" t="s">
        <v>338</v>
      </c>
      <c r="B8" t="s">
        <v>573</v>
      </c>
      <c r="C8" s="26">
        <v>-2.6819999999999999</v>
      </c>
      <c r="D8" s="26">
        <v>-0.14799999999999999</v>
      </c>
      <c r="E8" s="16">
        <v>4.702</v>
      </c>
      <c r="F8" s="1" t="str">
        <f>HYPERLINK("http://www.ncbi.nlm.nih.gov/pubmed/?term=Pck1","Pck1")</f>
        <v>Pck1</v>
      </c>
    </row>
    <row r="9" spans="1:6" x14ac:dyDescent="0.25">
      <c r="A9" t="s">
        <v>1327</v>
      </c>
      <c r="B9" t="s">
        <v>1885</v>
      </c>
      <c r="C9" s="26">
        <v>-2.2589999999999999</v>
      </c>
      <c r="D9" s="26">
        <v>-0.27200000000000002</v>
      </c>
      <c r="E9" s="22">
        <v>3.351</v>
      </c>
      <c r="F9" s="1" t="str">
        <f>HYPERLINK("http://www.ncbi.nlm.nih.gov/pubmed/?term=Gls2","Gls2")</f>
        <v>Gls2</v>
      </c>
    </row>
    <row r="10" spans="1:6" x14ac:dyDescent="0.25">
      <c r="A10" t="s">
        <v>1290</v>
      </c>
      <c r="B10" t="s">
        <v>1304</v>
      </c>
      <c r="C10" s="43">
        <v>6.2549999999999999</v>
      </c>
      <c r="D10" s="22">
        <v>3.4340000000000002</v>
      </c>
      <c r="E10" s="16">
        <v>5.0910000000000002</v>
      </c>
      <c r="F10" s="1" t="str">
        <f>HYPERLINK("http://www.ncbi.nlm.nih.gov/pubmed/?term=Fxyd2","Fxyd2")</f>
        <v>Fxyd2</v>
      </c>
    </row>
    <row r="11" spans="1:6" x14ac:dyDescent="0.25">
      <c r="A11" t="s">
        <v>1688</v>
      </c>
      <c r="B11" t="s">
        <v>793</v>
      </c>
      <c r="C11" s="3">
        <v>3.6909999999999998</v>
      </c>
      <c r="D11" s="26">
        <v>-2.997E-2</v>
      </c>
      <c r="E11" s="26">
        <v>0.432</v>
      </c>
      <c r="F11" s="1" t="str">
        <f>HYPERLINK("http://www.ncbi.nlm.nih.gov/pubmed/?term=Slc4a4","Slc4a4")</f>
        <v>Slc4a4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755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1982</v>
      </c>
      <c r="B5" t="s">
        <v>899</v>
      </c>
      <c r="C5" s="26">
        <v>-0.63539999999999996</v>
      </c>
      <c r="D5" s="16">
        <v>5.4779999999999998</v>
      </c>
      <c r="E5" s="43">
        <v>6.6909999999999998</v>
      </c>
      <c r="F5" s="1" t="str">
        <f>HYPERLINK("http://www.ncbi.nlm.nih.gov/pubmed/?term=Ckmt1","Ckmt1")</f>
        <v>Ckmt1</v>
      </c>
    </row>
    <row r="6" spans="1:6" x14ac:dyDescent="0.25">
      <c r="A6" t="s">
        <v>39</v>
      </c>
      <c r="B6" t="s">
        <v>879</v>
      </c>
      <c r="C6" s="26">
        <v>-6.6739999999999994E-2</v>
      </c>
      <c r="D6" s="22">
        <v>3.161</v>
      </c>
      <c r="E6" s="3">
        <v>3.6589999999999998</v>
      </c>
      <c r="F6" s="1" t="str">
        <f>HYPERLINK("http://www.ncbi.nlm.nih.gov/pubmed/?term=Ckb","Ckb")</f>
        <v>Ckb</v>
      </c>
    </row>
    <row r="7" spans="1:6" x14ac:dyDescent="0.25">
      <c r="A7" t="s">
        <v>2152</v>
      </c>
      <c r="B7" t="s">
        <v>1626</v>
      </c>
      <c r="C7" s="21">
        <v>1.4379999999999999</v>
      </c>
      <c r="D7" s="22">
        <v>2.734</v>
      </c>
      <c r="E7" s="3">
        <v>3.5979999999999999</v>
      </c>
      <c r="F7" s="1" t="str">
        <f>HYPERLINK("http://www.ncbi.nlm.nih.gov/pubmed/?term=Prodh","Prodh")</f>
        <v>Prodh</v>
      </c>
    </row>
    <row r="8" spans="1:6" x14ac:dyDescent="0.25">
      <c r="A8" t="s">
        <v>855</v>
      </c>
      <c r="B8" t="s">
        <v>1614</v>
      </c>
      <c r="C8" s="21">
        <v>0.94089999999999996</v>
      </c>
      <c r="D8" s="41">
        <v>2.4689999999999999</v>
      </c>
      <c r="E8" s="3">
        <v>3.7490000000000001</v>
      </c>
      <c r="F8" s="1" t="str">
        <f>HYPERLINK("http://www.ncbi.nlm.nih.gov/pubmed/?term=P4ha2","P4ha2")</f>
        <v>P4ha2</v>
      </c>
    </row>
    <row r="9" spans="1:6" x14ac:dyDescent="0.25">
      <c r="A9" t="s">
        <v>1173</v>
      </c>
      <c r="B9" t="s">
        <v>1060</v>
      </c>
      <c r="C9" s="26">
        <v>-1.2470000000000001</v>
      </c>
      <c r="D9" s="41">
        <v>2.052</v>
      </c>
      <c r="E9" s="43">
        <v>7.4489999999999998</v>
      </c>
      <c r="F9" s="1" t="str">
        <f>HYPERLINK("http://www.ncbi.nlm.nih.gov/pubmed/?term=Nos2","Nos2")</f>
        <v>Nos2</v>
      </c>
    </row>
    <row r="10" spans="1:6" x14ac:dyDescent="0.25">
      <c r="A10" t="s">
        <v>437</v>
      </c>
      <c r="B10" t="s">
        <v>1271</v>
      </c>
      <c r="C10" s="26">
        <v>-6.1400000000000003E-2</v>
      </c>
      <c r="D10" s="41">
        <v>1.587</v>
      </c>
      <c r="E10" s="43">
        <v>6.4889999999999999</v>
      </c>
      <c r="F10" s="1" t="str">
        <f>HYPERLINK("http://www.ncbi.nlm.nih.gov/pubmed/?term=Arg2","Arg2")</f>
        <v>Arg2</v>
      </c>
    </row>
    <row r="11" spans="1:6" x14ac:dyDescent="0.25">
      <c r="A11" t="s">
        <v>1768</v>
      </c>
      <c r="B11" t="s">
        <v>415</v>
      </c>
      <c r="C11" s="3">
        <v>4.0069999999999997</v>
      </c>
      <c r="D11" s="16">
        <v>5.0720000000000001</v>
      </c>
      <c r="E11" s="43">
        <v>7.0519999999999996</v>
      </c>
      <c r="F11" s="1" t="str">
        <f>HYPERLINK("http://www.ncbi.nlm.nih.gov/pubmed/?term=Sat1","Sat1")</f>
        <v>Sat1</v>
      </c>
    </row>
    <row r="12" spans="1:6" x14ac:dyDescent="0.25">
      <c r="A12" t="s">
        <v>1844</v>
      </c>
      <c r="B12" t="s">
        <v>1028</v>
      </c>
      <c r="C12" s="41">
        <v>1.62</v>
      </c>
      <c r="D12" s="41">
        <v>2.2650000000000001</v>
      </c>
      <c r="E12" s="16">
        <v>4.8979999999999997</v>
      </c>
      <c r="F12" s="1" t="str">
        <f>HYPERLINK("http://www.ncbi.nlm.nih.gov/pubmed/?term=Adc","Adc")</f>
        <v>Adc</v>
      </c>
    </row>
    <row r="13" spans="1:6" x14ac:dyDescent="0.25">
      <c r="A13" t="s">
        <v>1831</v>
      </c>
      <c r="B13" t="s">
        <v>1047</v>
      </c>
      <c r="C13" s="26">
        <v>-1.891</v>
      </c>
      <c r="D13" s="3">
        <v>3.7509999999999999</v>
      </c>
      <c r="E13" s="43">
        <v>6.9809999999999999</v>
      </c>
      <c r="F13" s="1" t="str">
        <f>HYPERLINK("http://www.ncbi.nlm.nih.gov/pubmed/?term=Abp1","Abp1")</f>
        <v>Abp1</v>
      </c>
    </row>
    <row r="14" spans="1:6" x14ac:dyDescent="0.25">
      <c r="A14" t="s">
        <v>1327</v>
      </c>
      <c r="B14" t="s">
        <v>1885</v>
      </c>
      <c r="C14" s="26">
        <v>-2.2589999999999999</v>
      </c>
      <c r="D14" s="26">
        <v>-0.27200000000000002</v>
      </c>
      <c r="E14" s="22">
        <v>3.351</v>
      </c>
      <c r="F14" s="1" t="str">
        <f>HYPERLINK("http://www.ncbi.nlm.nih.gov/pubmed/?term=Gls2","Gls2")</f>
        <v>Gls2</v>
      </c>
    </row>
    <row r="15" spans="1:6" x14ac:dyDescent="0.25">
      <c r="A15" t="s">
        <v>1215</v>
      </c>
      <c r="B15" t="s">
        <v>637</v>
      </c>
      <c r="C15" s="43">
        <v>6.4459999999999997</v>
      </c>
      <c r="D15" s="43">
        <v>7.2</v>
      </c>
      <c r="E15" s="16">
        <v>4.6769999999999996</v>
      </c>
      <c r="F15" s="1" t="str">
        <f>HYPERLINK("http://www.ncbi.nlm.nih.gov/pubmed/?term=Glul","Glul")</f>
        <v>Glul</v>
      </c>
    </row>
    <row r="16" spans="1:6" x14ac:dyDescent="0.25">
      <c r="A16" t="s">
        <v>1248</v>
      </c>
      <c r="B16" t="s">
        <v>2158</v>
      </c>
      <c r="C16" s="16">
        <v>5.4740000000000002</v>
      </c>
      <c r="D16" s="43">
        <v>6.3890000000000002</v>
      </c>
      <c r="E16" s="3">
        <v>3.6019999999999999</v>
      </c>
      <c r="F16" s="1" t="str">
        <f>HYPERLINK("http://www.ncbi.nlm.nih.gov/pubmed/?term=Aldh2","Aldh2")</f>
        <v>Aldh2</v>
      </c>
    </row>
    <row r="17" spans="1:6" x14ac:dyDescent="0.25">
      <c r="A17" t="s">
        <v>1643</v>
      </c>
      <c r="B17" t="s">
        <v>156</v>
      </c>
      <c r="C17" s="16">
        <v>5.3289999999999997</v>
      </c>
      <c r="D17" s="43">
        <v>5.9909999999999997</v>
      </c>
      <c r="E17" s="16">
        <v>4.8479999999999999</v>
      </c>
      <c r="F17" s="1" t="str">
        <f>HYPERLINK("http://www.ncbi.nlm.nih.gov/pubmed/?term=Oat","Oat")</f>
        <v>Oat</v>
      </c>
    </row>
    <row r="18" spans="1:6" x14ac:dyDescent="0.25">
      <c r="A18" t="s">
        <v>255</v>
      </c>
      <c r="B18" t="s">
        <v>1968</v>
      </c>
      <c r="C18" s="3">
        <v>4.2409999999999997</v>
      </c>
      <c r="D18" s="16">
        <v>4.57</v>
      </c>
      <c r="E18" s="22">
        <v>3.4409999999999998</v>
      </c>
      <c r="F18" s="1" t="str">
        <f>HYPERLINK("http://www.ncbi.nlm.nih.gov/pubmed/?term=Lap3","Lap3")</f>
        <v>Lap3</v>
      </c>
    </row>
    <row r="19" spans="1:6" x14ac:dyDescent="0.25">
      <c r="A19" t="s">
        <v>683</v>
      </c>
      <c r="B19" t="s">
        <v>1793</v>
      </c>
      <c r="C19" s="43">
        <v>6.4889999999999999</v>
      </c>
      <c r="D19" s="43">
        <v>6.3239999999999998</v>
      </c>
      <c r="E19" s="16">
        <v>5.26</v>
      </c>
      <c r="F19" s="1" t="str">
        <f>HYPERLINK("http://www.ncbi.nlm.nih.gov/pubmed/?term=Aldh3a2","Aldh3a2")</f>
        <v>Aldh3a2</v>
      </c>
    </row>
    <row r="20" spans="1:6" x14ac:dyDescent="0.25">
      <c r="A20" t="s">
        <v>2189</v>
      </c>
      <c r="B20" t="s">
        <v>1100</v>
      </c>
      <c r="C20" s="43">
        <v>5.9160000000000004</v>
      </c>
      <c r="D20" s="41">
        <v>1.853</v>
      </c>
      <c r="E20" s="26">
        <v>7.4550000000000005E-2</v>
      </c>
      <c r="F20" s="1" t="str">
        <f>HYPERLINK("http://www.ncbi.nlm.nih.gov/pubmed/?term=P4ha3","P4ha3")</f>
        <v>P4ha3</v>
      </c>
    </row>
    <row r="21" spans="1:6" x14ac:dyDescent="0.25">
      <c r="A21" t="s">
        <v>476</v>
      </c>
      <c r="B21" t="s">
        <v>2194</v>
      </c>
      <c r="C21" s="43">
        <v>5.8730000000000002</v>
      </c>
      <c r="D21" s="3">
        <v>4.1980000000000004</v>
      </c>
      <c r="E21" s="22">
        <v>3.476</v>
      </c>
      <c r="F21" s="1" t="str">
        <f>HYPERLINK("http://www.ncbi.nlm.nih.gov/pubmed/?term=Aldh7a1","Aldh7a1")</f>
        <v>Aldh7a1</v>
      </c>
    </row>
    <row r="22" spans="1:6" x14ac:dyDescent="0.25">
      <c r="A22" t="s">
        <v>1419</v>
      </c>
      <c r="B22" t="s">
        <v>1095</v>
      </c>
      <c r="C22" s="41">
        <v>1.913</v>
      </c>
      <c r="D22" s="41">
        <v>1.528</v>
      </c>
      <c r="E22" s="3">
        <v>4.2119999999999997</v>
      </c>
      <c r="F22" s="1" t="str">
        <f>HYPERLINK("http://www.ncbi.nlm.nih.gov/pubmed/?term=Maoa","Maoa")</f>
        <v>Maoa</v>
      </c>
    </row>
    <row r="23" spans="1:6" x14ac:dyDescent="0.25">
      <c r="A23" t="s">
        <v>526</v>
      </c>
      <c r="B23" t="s">
        <v>1490</v>
      </c>
      <c r="C23" s="43">
        <v>5.7190000000000003</v>
      </c>
      <c r="D23" s="22">
        <v>3.2320000000000002</v>
      </c>
      <c r="E23" s="3">
        <v>3.86</v>
      </c>
      <c r="F23" s="1" t="str">
        <f>HYPERLINK("http://www.ncbi.nlm.nih.gov/pubmed/?term=Got1","Got1")</f>
        <v>Got1</v>
      </c>
    </row>
    <row r="24" spans="1:6" x14ac:dyDescent="0.25">
      <c r="A24" t="s">
        <v>1979</v>
      </c>
      <c r="B24" t="s">
        <v>1316</v>
      </c>
      <c r="C24" s="16">
        <v>5.0529999999999999</v>
      </c>
      <c r="D24" s="3">
        <v>3.5739999999999998</v>
      </c>
      <c r="E24" s="3">
        <v>3.59</v>
      </c>
      <c r="F24" s="1" t="str">
        <f>HYPERLINK("http://www.ncbi.nlm.nih.gov/pubmed/?term=Aldh9a1","Aldh9a1")</f>
        <v>Aldh9a1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1865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850</v>
      </c>
      <c r="B5" t="s">
        <v>1615</v>
      </c>
      <c r="C5" s="19">
        <v>5.375</v>
      </c>
      <c r="D5" s="39">
        <v>7.7729999999999997</v>
      </c>
      <c r="E5" s="3">
        <v>6.2270000000000003</v>
      </c>
      <c r="F5" s="1" t="str">
        <f>HYPERLINK("http://www.ncbi.nlm.nih.gov/pubmed/?term=Hspa1b","Hspa1b")</f>
        <v>Hspa1b</v>
      </c>
    </row>
    <row r="6" spans="1:6" x14ac:dyDescent="0.25">
      <c r="A6" t="s">
        <v>1975</v>
      </c>
      <c r="B6" t="s">
        <v>1616</v>
      </c>
      <c r="C6" s="15">
        <v>4.4249999999999998</v>
      </c>
      <c r="D6" s="9">
        <v>6.9690000000000003</v>
      </c>
      <c r="E6" s="19">
        <v>5.39</v>
      </c>
      <c r="F6" s="1" t="str">
        <f>HYPERLINK("http://www.ncbi.nlm.nih.gov/pubmed/?term=Hspa1a","Hspa1a")</f>
        <v>Hspa1a</v>
      </c>
    </row>
    <row r="7" spans="1:6" x14ac:dyDescent="0.25">
      <c r="A7" t="s">
        <v>691</v>
      </c>
      <c r="B7" t="s">
        <v>1854</v>
      </c>
      <c r="C7" s="19">
        <v>4.5309999999999997</v>
      </c>
      <c r="D7" s="19">
        <v>4.8079999999999998</v>
      </c>
      <c r="E7" s="3">
        <v>5.8070000000000004</v>
      </c>
      <c r="F7" s="1" t="str">
        <f>HYPERLINK("http://www.ncbi.nlm.nih.gov/pubmed/?term=Sar1b","Sar1b")</f>
        <v>Sar1b</v>
      </c>
    </row>
    <row r="8" spans="1:6" x14ac:dyDescent="0.25">
      <c r="A8" t="s">
        <v>656</v>
      </c>
      <c r="B8" t="s">
        <v>1049</v>
      </c>
      <c r="C8" s="26">
        <v>-1.929</v>
      </c>
      <c r="D8" s="8">
        <v>0.65049999999999997</v>
      </c>
      <c r="E8" s="15">
        <v>4.242</v>
      </c>
      <c r="F8" s="1" t="str">
        <f>HYPERLINK("http://www.ncbi.nlm.nih.gov/pubmed/?term=Tnf","Tnf")</f>
        <v>Tnf</v>
      </c>
    </row>
    <row r="9" spans="1:6" x14ac:dyDescent="0.25">
      <c r="A9" t="s">
        <v>1851</v>
      </c>
      <c r="B9" t="s">
        <v>1249</v>
      </c>
      <c r="C9" s="3">
        <v>6.2190000000000003</v>
      </c>
      <c r="D9" s="3">
        <v>6.3710000000000004</v>
      </c>
      <c r="E9" s="39">
        <v>7.9530000000000003</v>
      </c>
      <c r="F9" s="1" t="str">
        <f>HYPERLINK("http://www.ncbi.nlm.nih.gov/pubmed/?term=Nfkb2","Nfkb2")</f>
        <v>Nfkb2</v>
      </c>
    </row>
    <row r="10" spans="1:6" x14ac:dyDescent="0.25">
      <c r="A10" t="s">
        <v>918</v>
      </c>
      <c r="B10" t="s">
        <v>2032</v>
      </c>
      <c r="C10" s="41">
        <v>2.6869999999999998</v>
      </c>
      <c r="D10" s="19">
        <v>4.8470000000000004</v>
      </c>
      <c r="E10" s="3">
        <v>6.4870000000000001</v>
      </c>
      <c r="F10" s="1" t="str">
        <f>HYPERLINK("http://www.ncbi.nlm.nih.gov/pubmed/?term=Casp1","Casp1")</f>
        <v>Casp1</v>
      </c>
    </row>
    <row r="11" spans="1:6" x14ac:dyDescent="0.25">
      <c r="A11" t="s">
        <v>391</v>
      </c>
      <c r="B11" t="s">
        <v>558</v>
      </c>
      <c r="C11" s="26">
        <v>-2.9940000000000002</v>
      </c>
      <c r="D11" s="26">
        <v>-4.1790000000000001E-2</v>
      </c>
      <c r="E11" s="3">
        <v>6.1180000000000003</v>
      </c>
      <c r="F11" s="1" t="str">
        <f>HYPERLINK("http://www.ncbi.nlm.nih.gov/pubmed/?term=Il12a","Il12a")</f>
        <v>Il12a</v>
      </c>
    </row>
    <row r="12" spans="1:6" x14ac:dyDescent="0.25">
      <c r="A12" t="s">
        <v>859</v>
      </c>
      <c r="B12" t="s">
        <v>397</v>
      </c>
      <c r="C12" s="26">
        <v>-1.2170000000000001</v>
      </c>
      <c r="D12" s="37">
        <v>2.4129999999999998</v>
      </c>
      <c r="E12" s="19">
        <v>4.5259999999999998</v>
      </c>
      <c r="F12" s="1" t="str">
        <f>HYPERLINK("http://www.ncbi.nlm.nih.gov/pubmed/?term=Cxcl2","Cxcl2")</f>
        <v>Cxcl2</v>
      </c>
    </row>
    <row r="13" spans="1:6" x14ac:dyDescent="0.25">
      <c r="A13" t="s">
        <v>1161</v>
      </c>
      <c r="B13" t="s">
        <v>1278</v>
      </c>
      <c r="C13" s="26">
        <v>-2.835</v>
      </c>
      <c r="D13" s="8">
        <v>1.044</v>
      </c>
      <c r="E13" s="15">
        <v>4.12</v>
      </c>
      <c r="F13" s="1" t="str">
        <f>HYPERLINK("http://www.ncbi.nlm.nih.gov/pubmed/?term=Naip2","Naip2")</f>
        <v>Naip2</v>
      </c>
    </row>
    <row r="14" spans="1:6" x14ac:dyDescent="0.25">
      <c r="A14" t="s">
        <v>1852</v>
      </c>
      <c r="B14" t="s">
        <v>1070</v>
      </c>
      <c r="C14" s="39">
        <v>7.577</v>
      </c>
      <c r="D14" s="39">
        <v>7.5250000000000004</v>
      </c>
      <c r="E14" s="43">
        <v>9.6739999999999995</v>
      </c>
      <c r="F14" s="1" t="str">
        <f>HYPERLINK("http://www.ncbi.nlm.nih.gov/pubmed/?term=Nfkbia","Nfkbia")</f>
        <v>Nfkbia</v>
      </c>
    </row>
    <row r="15" spans="1:6" x14ac:dyDescent="0.25">
      <c r="A15" t="s">
        <v>606</v>
      </c>
      <c r="B15" t="s">
        <v>60</v>
      </c>
      <c r="C15" s="15">
        <v>4.0289999999999999</v>
      </c>
      <c r="D15" s="41">
        <v>2.9289999999999998</v>
      </c>
      <c r="E15" s="15">
        <v>4.0720000000000001</v>
      </c>
      <c r="F15" s="1" t="str">
        <f>HYPERLINK("http://www.ncbi.nlm.nih.gov/pubmed/?term=Cxcl1","Cxcl1")</f>
        <v>Cxcl1</v>
      </c>
    </row>
    <row r="16" spans="1:6" x14ac:dyDescent="0.25">
      <c r="A16" t="s">
        <v>1122</v>
      </c>
      <c r="B16" t="s">
        <v>950</v>
      </c>
      <c r="C16" s="19">
        <v>5.2190000000000003</v>
      </c>
      <c r="D16" s="15">
        <v>3.79</v>
      </c>
      <c r="E16" s="3">
        <v>5.9610000000000003</v>
      </c>
      <c r="F16" s="1" t="str">
        <f>HYPERLINK("http://www.ncbi.nlm.nih.gov/pubmed/?term=Bnip3","Bnip3")</f>
        <v>Bnip3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648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23">
        <v>2.2389999999999999</v>
      </c>
      <c r="D5" s="2">
        <v>7.0960000000000001</v>
      </c>
      <c r="E5" s="33">
        <v>5.49</v>
      </c>
      <c r="F5" s="1" t="str">
        <f>HYPERLINK("http://www.ncbi.nlm.nih.gov/pubmed/?term=Mapk13","Mapk13")</f>
        <v>Mapk13</v>
      </c>
    </row>
    <row r="6" spans="1:6" x14ac:dyDescent="0.25">
      <c r="A6" t="s">
        <v>1098</v>
      </c>
      <c r="B6" t="s">
        <v>929</v>
      </c>
      <c r="C6" s="26">
        <v>-4.3019999999999996</v>
      </c>
      <c r="D6" s="18">
        <v>3.4460000000000002</v>
      </c>
      <c r="E6" s="23">
        <v>2.1880000000000002</v>
      </c>
      <c r="F6" s="1" t="str">
        <f>HYPERLINK("http://www.ncbi.nlm.nih.gov/pubmed/?term=Il10","Il10")</f>
        <v>Il10</v>
      </c>
    </row>
    <row r="7" spans="1:6" x14ac:dyDescent="0.25">
      <c r="A7" t="s">
        <v>1505</v>
      </c>
      <c r="B7" t="s">
        <v>1512</v>
      </c>
      <c r="C7" s="13">
        <v>1.395</v>
      </c>
      <c r="D7" s="22">
        <v>3.742</v>
      </c>
      <c r="E7" s="23">
        <v>2.1539999999999999</v>
      </c>
      <c r="F7" s="1" t="str">
        <f>HYPERLINK("http://www.ncbi.nlm.nih.gov/pubmed/?term=Serping1","Serping1")</f>
        <v>Serping1</v>
      </c>
    </row>
    <row r="8" spans="1:6" x14ac:dyDescent="0.25">
      <c r="A8" t="s">
        <v>1114</v>
      </c>
      <c r="B8" t="s">
        <v>336</v>
      </c>
      <c r="C8" s="23">
        <v>2.2010000000000001</v>
      </c>
      <c r="D8" s="43">
        <v>8.5250000000000004</v>
      </c>
      <c r="E8" s="43">
        <v>8.0510000000000002</v>
      </c>
      <c r="F8" s="1" t="str">
        <f>HYPERLINK("http://www.ncbi.nlm.nih.gov/pubmed/?term=C3","C3")</f>
        <v>C3</v>
      </c>
    </row>
    <row r="9" spans="1:6" x14ac:dyDescent="0.25">
      <c r="A9" t="s">
        <v>1169</v>
      </c>
      <c r="B9" t="s">
        <v>62</v>
      </c>
      <c r="C9" s="26">
        <v>-2.363</v>
      </c>
      <c r="D9" s="45">
        <v>5.6109999999999998</v>
      </c>
      <c r="E9" s="33">
        <v>5.3639999999999999</v>
      </c>
      <c r="F9" s="1" t="str">
        <f>HYPERLINK("http://www.ncbi.nlm.nih.gov/pubmed/?term=Calm4","Calm4")</f>
        <v>Calm4</v>
      </c>
    </row>
    <row r="10" spans="1:6" x14ac:dyDescent="0.25">
      <c r="A10" t="s">
        <v>1173</v>
      </c>
      <c r="B10" t="s">
        <v>1060</v>
      </c>
      <c r="C10" s="26">
        <v>-1.2470000000000001</v>
      </c>
      <c r="D10" s="23">
        <v>2.052</v>
      </c>
      <c r="E10" s="2">
        <v>7.4489999999999998</v>
      </c>
      <c r="F10" s="1" t="str">
        <f>HYPERLINK("http://www.ncbi.nlm.nih.gov/pubmed/?term=Nos2","Nos2")</f>
        <v>Nos2</v>
      </c>
    </row>
    <row r="11" spans="1:6" x14ac:dyDescent="0.25">
      <c r="A11" t="s">
        <v>687</v>
      </c>
      <c r="B11" t="s">
        <v>337</v>
      </c>
      <c r="C11" s="26">
        <v>-0.90610000000000002</v>
      </c>
      <c r="D11" s="18">
        <v>2.7530000000000001</v>
      </c>
      <c r="E11" s="22">
        <v>3.7959999999999998</v>
      </c>
      <c r="F11" s="1" t="str">
        <f>HYPERLINK("http://www.ncbi.nlm.nih.gov/pubmed/?term=C2","C2")</f>
        <v>C2</v>
      </c>
    </row>
    <row r="12" spans="1:6" x14ac:dyDescent="0.25">
      <c r="A12" t="s">
        <v>656</v>
      </c>
      <c r="B12" t="s">
        <v>1049</v>
      </c>
      <c r="C12" s="26">
        <v>-1.929</v>
      </c>
      <c r="D12" s="13">
        <v>0.65049999999999997</v>
      </c>
      <c r="E12" s="22">
        <v>4.242</v>
      </c>
      <c r="F12" s="1" t="str">
        <f>HYPERLINK("http://www.ncbi.nlm.nih.gov/pubmed/?term=Tnf","Tnf")</f>
        <v>Tnf</v>
      </c>
    </row>
    <row r="13" spans="1:6" x14ac:dyDescent="0.25">
      <c r="A13" t="s">
        <v>779</v>
      </c>
      <c r="B13" t="s">
        <v>1650</v>
      </c>
      <c r="C13" s="26">
        <v>-1.085</v>
      </c>
      <c r="D13" s="22">
        <v>3.79</v>
      </c>
      <c r="E13" s="2">
        <v>6.8739999999999997</v>
      </c>
      <c r="F13" s="1" t="str">
        <f>HYPERLINK("http://www.ncbi.nlm.nih.gov/pubmed/?term=Il23a","Il23a")</f>
        <v>Il23a</v>
      </c>
    </row>
    <row r="14" spans="1:6" x14ac:dyDescent="0.25">
      <c r="A14" t="s">
        <v>918</v>
      </c>
      <c r="B14" t="s">
        <v>2032</v>
      </c>
      <c r="C14" s="18">
        <v>2.6869999999999998</v>
      </c>
      <c r="D14" s="33">
        <v>4.8470000000000004</v>
      </c>
      <c r="E14" s="45">
        <v>6.4870000000000001</v>
      </c>
      <c r="F14" s="1" t="str">
        <f>HYPERLINK("http://www.ncbi.nlm.nih.gov/pubmed/?term=Casp1","Casp1")</f>
        <v>Casp1</v>
      </c>
    </row>
    <row r="15" spans="1:6" x14ac:dyDescent="0.25">
      <c r="A15" t="s">
        <v>391</v>
      </c>
      <c r="B15" t="s">
        <v>558</v>
      </c>
      <c r="C15" s="26">
        <v>-2.9940000000000002</v>
      </c>
      <c r="D15" s="26">
        <v>-4.1790000000000001E-2</v>
      </c>
      <c r="E15" s="45">
        <v>6.1180000000000003</v>
      </c>
      <c r="F15" s="1" t="str">
        <f>HYPERLINK("http://www.ncbi.nlm.nih.gov/pubmed/?term=Il12a","Il12a")</f>
        <v>Il12a</v>
      </c>
    </row>
    <row r="16" spans="1:6" x14ac:dyDescent="0.25">
      <c r="A16" t="s">
        <v>2124</v>
      </c>
      <c r="B16" t="s">
        <v>2188</v>
      </c>
      <c r="C16" s="26">
        <v>-1.919</v>
      </c>
      <c r="D16" s="45">
        <v>5.5629999999999997</v>
      </c>
      <c r="E16" s="45">
        <v>5.6420000000000003</v>
      </c>
      <c r="F16" s="1" t="str">
        <f>HYPERLINK("http://www.ncbi.nlm.nih.gov/pubmed/?term=Calml3","Calml3")</f>
        <v>Calml3</v>
      </c>
    </row>
    <row r="17" spans="1:6" x14ac:dyDescent="0.25">
      <c r="A17" t="s">
        <v>1045</v>
      </c>
      <c r="B17" t="s">
        <v>1412</v>
      </c>
      <c r="C17" s="43">
        <v>8.2629999999999999</v>
      </c>
      <c r="D17" s="43">
        <v>8.5969999999999995</v>
      </c>
      <c r="E17" s="2">
        <v>6.7990000000000004</v>
      </c>
      <c r="F17" s="1" t="str">
        <f>HYPERLINK("http://www.ncbi.nlm.nih.gov/pubmed/?term=Fos","Fos")</f>
        <v>Fos</v>
      </c>
    </row>
    <row r="18" spans="1:6" x14ac:dyDescent="0.25">
      <c r="A18" t="s">
        <v>686</v>
      </c>
      <c r="B18" t="s">
        <v>593</v>
      </c>
      <c r="C18" s="43">
        <v>7.6289999999999996</v>
      </c>
      <c r="D18" s="43">
        <v>8.4730000000000008</v>
      </c>
      <c r="E18" s="2">
        <v>7.0110000000000001</v>
      </c>
      <c r="F18" s="1" t="str">
        <f>HYPERLINK("http://www.ncbi.nlm.nih.gov/pubmed/?term=Calm2","Calm2")</f>
        <v>Calm2</v>
      </c>
    </row>
    <row r="19" spans="1:6" x14ac:dyDescent="0.25">
      <c r="A19" t="s">
        <v>363</v>
      </c>
      <c r="B19" t="s">
        <v>945</v>
      </c>
      <c r="C19" s="18">
        <v>2.6829999999999998</v>
      </c>
      <c r="D19" s="45">
        <v>6.109</v>
      </c>
      <c r="E19" s="13">
        <v>1.0489999999999999</v>
      </c>
      <c r="F19" s="1" t="str">
        <f>HYPERLINK("http://www.ncbi.nlm.nih.gov/pubmed/?term=C1s","C1s")</f>
        <v>C1s</v>
      </c>
    </row>
    <row r="20" spans="1:6" x14ac:dyDescent="0.25">
      <c r="A20" t="s">
        <v>1884</v>
      </c>
      <c r="B20" t="s">
        <v>2000</v>
      </c>
      <c r="C20" s="43">
        <v>8.7729999999999997</v>
      </c>
      <c r="D20" s="43">
        <v>9.0190000000000001</v>
      </c>
      <c r="E20" s="2">
        <v>7.4089999999999998</v>
      </c>
      <c r="F20" s="1" t="str">
        <f>HYPERLINK("http://www.ncbi.nlm.nih.gov/pubmed/?term=Jun","Jun")</f>
        <v>Jun</v>
      </c>
    </row>
    <row r="21" spans="1:6" x14ac:dyDescent="0.25">
      <c r="A21" t="s">
        <v>543</v>
      </c>
      <c r="B21" t="s">
        <v>1406</v>
      </c>
      <c r="C21" s="23">
        <v>1.8440000000000001</v>
      </c>
      <c r="D21" s="18">
        <v>3.3610000000000002</v>
      </c>
      <c r="E21" s="26">
        <v>-1.4650000000000001</v>
      </c>
      <c r="F21" s="1" t="str">
        <f>HYPERLINK("http://www.ncbi.nlm.nih.gov/pubmed/?term=C1ra","C1ra")</f>
        <v>C1ra</v>
      </c>
    </row>
    <row r="22" spans="1:6" x14ac:dyDescent="0.25">
      <c r="A22" t="s">
        <v>1143</v>
      </c>
      <c r="B22" t="s">
        <v>595</v>
      </c>
      <c r="C22" s="2">
        <v>6.7370000000000001</v>
      </c>
      <c r="D22" s="45">
        <v>6.1340000000000003</v>
      </c>
      <c r="E22" s="45">
        <v>5.6020000000000003</v>
      </c>
      <c r="F22" s="1" t="str">
        <f>HYPERLINK("http://www.ncbi.nlm.nih.gov/pubmed/?term=Calm1","Calm1")</f>
        <v>Calm1</v>
      </c>
    </row>
    <row r="23" spans="1:6" x14ac:dyDescent="0.25">
      <c r="A23" t="s">
        <v>31</v>
      </c>
      <c r="B23" t="s">
        <v>400</v>
      </c>
      <c r="C23" s="22">
        <v>4.476</v>
      </c>
      <c r="D23" s="22">
        <v>3.5920000000000001</v>
      </c>
      <c r="E23" s="18">
        <v>3.4319999999999999</v>
      </c>
      <c r="F23" s="1" t="str">
        <f>HYPERLINK("http://www.ncbi.nlm.nih.gov/pubmed/?term=Mapk9","Mapk9")</f>
        <v>Mapk9</v>
      </c>
    </row>
    <row r="24" spans="1:6" x14ac:dyDescent="0.25">
      <c r="A24" t="s">
        <v>834</v>
      </c>
      <c r="B24" t="s">
        <v>1552</v>
      </c>
      <c r="C24" s="33">
        <v>4.516</v>
      </c>
      <c r="D24" s="22">
        <v>3.7549999999999999</v>
      </c>
      <c r="E24" s="18">
        <v>3.4649999999999999</v>
      </c>
      <c r="F24" s="1" t="str">
        <f>HYPERLINK("http://www.ncbi.nlm.nih.gov/pubmed/?term=Mapk8","Mapk8")</f>
        <v>Mapk8</v>
      </c>
    </row>
    <row r="25" spans="1:6" x14ac:dyDescent="0.25">
      <c r="A25" t="s">
        <v>1902</v>
      </c>
      <c r="B25" t="s">
        <v>292</v>
      </c>
      <c r="C25" s="33">
        <v>5.4859999999999998</v>
      </c>
      <c r="D25" s="33">
        <v>5.1769999999999996</v>
      </c>
      <c r="E25" s="22">
        <v>4.3440000000000003</v>
      </c>
      <c r="F25" s="1" t="str">
        <f>HYPERLINK("http://www.ncbi.nlm.nih.gov/pubmed/?term=Mapk14","Mapk14")</f>
        <v>Mapk14</v>
      </c>
    </row>
    <row r="26" spans="1:6" x14ac:dyDescent="0.25">
      <c r="A26" t="s">
        <v>452</v>
      </c>
      <c r="B26" t="s">
        <v>1740</v>
      </c>
      <c r="C26" s="45">
        <v>5.5750000000000002</v>
      </c>
      <c r="D26" s="22">
        <v>4.0350000000000001</v>
      </c>
      <c r="E26" s="23">
        <v>2.4390000000000001</v>
      </c>
      <c r="F26" s="1" t="str">
        <f>HYPERLINK("http://www.ncbi.nlm.nih.gov/pubmed/?term=Cfl2","Cfl2")</f>
        <v>Cfl2</v>
      </c>
    </row>
    <row r="27" spans="1:6" x14ac:dyDescent="0.25">
      <c r="A27" t="s">
        <v>529</v>
      </c>
      <c r="B27" t="s">
        <v>1321</v>
      </c>
      <c r="C27" s="18">
        <v>3.3559999999999999</v>
      </c>
      <c r="D27" s="18">
        <v>3.198</v>
      </c>
      <c r="E27" s="33">
        <v>5.0339999999999998</v>
      </c>
      <c r="F27" s="1" t="str">
        <f>HYPERLINK("http://www.ncbi.nlm.nih.gov/pubmed/?term=Traf6","Traf6")</f>
        <v>Traf6</v>
      </c>
    </row>
    <row r="28" spans="1:6" x14ac:dyDescent="0.25">
      <c r="A28" t="s">
        <v>1775</v>
      </c>
      <c r="B28" t="s">
        <v>126</v>
      </c>
      <c r="C28" s="2">
        <v>6.9569999999999999</v>
      </c>
      <c r="D28" s="33">
        <v>4.9889999999999999</v>
      </c>
      <c r="E28" s="43">
        <v>8.3989999999999991</v>
      </c>
      <c r="F28" s="1" t="str">
        <f>HYPERLINK("http://www.ncbi.nlm.nih.gov/pubmed/?term=Irf8","Irf8")</f>
        <v>Irf8</v>
      </c>
    </row>
    <row r="29" spans="1:6" x14ac:dyDescent="0.25">
      <c r="A29" t="s">
        <v>1660</v>
      </c>
      <c r="B29" t="s">
        <v>2069</v>
      </c>
      <c r="C29" s="22">
        <v>3.8090000000000002</v>
      </c>
      <c r="D29" s="26">
        <v>-1.27</v>
      </c>
      <c r="E29" s="26">
        <v>-1.117</v>
      </c>
      <c r="F29" s="1" t="str">
        <f>HYPERLINK("http://www.ncbi.nlm.nih.gov/pubmed/?term=Itgb2","Itgb2")</f>
        <v>Itgb2</v>
      </c>
    </row>
    <row r="30" spans="1:6" x14ac:dyDescent="0.25">
      <c r="A30" t="s">
        <v>1761</v>
      </c>
      <c r="B30" t="s">
        <v>889</v>
      </c>
      <c r="C30" s="43">
        <v>8.4209999999999994</v>
      </c>
      <c r="D30" s="45">
        <v>6.1859999999999999</v>
      </c>
      <c r="E30" s="2">
        <v>6.97</v>
      </c>
      <c r="F30" s="1" t="str">
        <f>HYPERLINK("http://www.ncbi.nlm.nih.gov/pubmed/?term=Irf1","Irf1")</f>
        <v>Irf1</v>
      </c>
    </row>
    <row r="31" spans="1:6" x14ac:dyDescent="0.25">
      <c r="A31" t="s">
        <v>1907</v>
      </c>
      <c r="B31" t="s">
        <v>594</v>
      </c>
      <c r="C31" s="2">
        <v>6.91</v>
      </c>
      <c r="D31" s="45">
        <v>6.0519999999999996</v>
      </c>
      <c r="E31" s="45">
        <v>6.492</v>
      </c>
      <c r="F31" s="1" t="str">
        <f>HYPERLINK("http://www.ncbi.nlm.nih.gov/pubmed/?term=Calm3","Calm3")</f>
        <v>Calm3</v>
      </c>
    </row>
    <row r="32" spans="1:6" x14ac:dyDescent="0.25">
      <c r="A32" t="s">
        <v>65</v>
      </c>
      <c r="B32" t="s">
        <v>1030</v>
      </c>
      <c r="C32" s="33">
        <v>5.24</v>
      </c>
      <c r="D32" s="22">
        <v>3.8029999999999999</v>
      </c>
      <c r="E32" s="22">
        <v>4.2709999999999999</v>
      </c>
      <c r="F32" s="1" t="str">
        <f>HYPERLINK("http://www.ncbi.nlm.nih.gov/pubmed/?term=Pycard","Pycard")</f>
        <v>Pycard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1132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120</v>
      </c>
      <c r="B5" t="s">
        <v>189</v>
      </c>
      <c r="C5" s="22">
        <v>2.8319999999999999</v>
      </c>
      <c r="D5" s="3">
        <v>4.4240000000000004</v>
      </c>
      <c r="E5" s="3">
        <v>4.3319999999999999</v>
      </c>
      <c r="F5" s="1" t="str">
        <f>HYPERLINK("http://www.ncbi.nlm.nih.gov/pubmed/?term=Notch1","Notch1")</f>
        <v>Notch1</v>
      </c>
    </row>
    <row r="6" spans="1:6" x14ac:dyDescent="0.25">
      <c r="A6" t="s">
        <v>29</v>
      </c>
      <c r="B6" t="s">
        <v>996</v>
      </c>
      <c r="C6" s="22">
        <v>2.6909999999999998</v>
      </c>
      <c r="D6" s="22">
        <v>2.81</v>
      </c>
      <c r="E6" s="16">
        <v>5.1230000000000002</v>
      </c>
      <c r="F6" s="1" t="str">
        <f>HYPERLINK("http://www.ncbi.nlm.nih.gov/pubmed/?term=Dtx2","Dtx2")</f>
        <v>Dtx2</v>
      </c>
    </row>
    <row r="7" spans="1:6" x14ac:dyDescent="0.25">
      <c r="A7" t="s">
        <v>1654</v>
      </c>
      <c r="B7" t="s">
        <v>701</v>
      </c>
      <c r="C7" s="26">
        <v>-0.40339999999999998</v>
      </c>
      <c r="D7" s="22">
        <v>2.5710000000000002</v>
      </c>
      <c r="E7" s="3">
        <v>3.9009999999999998</v>
      </c>
      <c r="F7" s="1" t="str">
        <f>HYPERLINK("http://www.ncbi.nlm.nih.gov/pubmed/?term=Mfng","Mfng")</f>
        <v>Mfng</v>
      </c>
    </row>
    <row r="8" spans="1:6" x14ac:dyDescent="0.25">
      <c r="A8" t="s">
        <v>2144</v>
      </c>
      <c r="B8" t="s">
        <v>1541</v>
      </c>
      <c r="C8" s="3">
        <v>3.5539999999999998</v>
      </c>
      <c r="D8" s="3">
        <v>3.7370000000000001</v>
      </c>
      <c r="E8" s="16">
        <v>4.8140000000000001</v>
      </c>
      <c r="F8" s="1" t="str">
        <f>HYPERLINK("http://www.ncbi.nlm.nih.gov/pubmed/?term=Numb","Numb")</f>
        <v>Numb</v>
      </c>
    </row>
    <row r="9" spans="1:6" x14ac:dyDescent="0.25">
      <c r="A9" t="s">
        <v>1440</v>
      </c>
      <c r="B9" t="s">
        <v>873</v>
      </c>
      <c r="C9" s="22">
        <v>2.964</v>
      </c>
      <c r="D9" s="3">
        <v>3.5249999999999999</v>
      </c>
      <c r="E9" s="16">
        <v>4.9039999999999999</v>
      </c>
      <c r="F9" s="1" t="str">
        <f>HYPERLINK("http://www.ncbi.nlm.nih.gov/pubmed/?term=Rbpj","Rbpj")</f>
        <v>Rbpj</v>
      </c>
    </row>
    <row r="10" spans="1:6" x14ac:dyDescent="0.25">
      <c r="A10" t="s">
        <v>1421</v>
      </c>
      <c r="B10" t="s">
        <v>1363</v>
      </c>
      <c r="C10" s="3">
        <v>3.9420000000000002</v>
      </c>
      <c r="D10" s="3">
        <v>3.9550000000000001</v>
      </c>
      <c r="E10" s="16">
        <v>5.1520000000000001</v>
      </c>
      <c r="F10" s="1" t="str">
        <f>HYPERLINK("http://www.ncbi.nlm.nih.gov/pubmed/?term=Adam17","Adam17")</f>
        <v>Adam17</v>
      </c>
    </row>
    <row r="11" spans="1:6" x14ac:dyDescent="0.25">
      <c r="A11" t="s">
        <v>769</v>
      </c>
      <c r="B11" t="s">
        <v>12</v>
      </c>
      <c r="C11" s="3">
        <v>3.923</v>
      </c>
      <c r="D11" s="3">
        <v>4.4320000000000004</v>
      </c>
      <c r="E11" s="41">
        <v>2.093</v>
      </c>
      <c r="F11" s="1" t="str">
        <f>HYPERLINK("http://www.ncbi.nlm.nih.gov/pubmed/?term=Hes1","Hes1")</f>
        <v>Hes1</v>
      </c>
    </row>
    <row r="12" spans="1:6" x14ac:dyDescent="0.25">
      <c r="A12" t="s">
        <v>1373</v>
      </c>
      <c r="B12" t="s">
        <v>2088</v>
      </c>
      <c r="C12" s="3">
        <v>4.4930000000000003</v>
      </c>
      <c r="D12" s="16">
        <v>4.6120000000000001</v>
      </c>
      <c r="E12" s="22">
        <v>3.3039999999999998</v>
      </c>
      <c r="F12" s="1" t="str">
        <f>HYPERLINK("http://www.ncbi.nlm.nih.gov/pubmed/?term=Dtx3l","Dtx3l")</f>
        <v>Dtx3l</v>
      </c>
    </row>
    <row r="13" spans="1:6" x14ac:dyDescent="0.25">
      <c r="A13" t="s">
        <v>1297</v>
      </c>
      <c r="B13" t="s">
        <v>1557</v>
      </c>
      <c r="C13" s="3">
        <v>4.0659999999999998</v>
      </c>
      <c r="D13" s="3">
        <v>3.794</v>
      </c>
      <c r="E13" s="22">
        <v>2.5489999999999999</v>
      </c>
      <c r="F13" s="1" t="str">
        <f>HYPERLINK("http://www.ncbi.nlm.nih.gov/pubmed/?term=Kat2b","Kat2b")</f>
        <v>Kat2b</v>
      </c>
    </row>
    <row r="14" spans="1:6" x14ac:dyDescent="0.25">
      <c r="A14" t="s">
        <v>2066</v>
      </c>
      <c r="B14" t="s">
        <v>1722</v>
      </c>
      <c r="C14" s="43">
        <v>6.2869999999999999</v>
      </c>
      <c r="D14" s="16">
        <v>5.0540000000000003</v>
      </c>
      <c r="E14" s="22">
        <v>2.9039999999999999</v>
      </c>
      <c r="F14" s="1" t="str">
        <f>HYPERLINK("http://www.ncbi.nlm.nih.gov/pubmed/?term=Jag2","Jag2")</f>
        <v>Jag2</v>
      </c>
    </row>
    <row r="15" spans="1:6" x14ac:dyDescent="0.25">
      <c r="A15" t="s">
        <v>1519</v>
      </c>
      <c r="B15" t="s">
        <v>1815</v>
      </c>
      <c r="C15" s="3">
        <v>3.597</v>
      </c>
      <c r="D15" s="22">
        <v>2.972</v>
      </c>
      <c r="E15" s="21">
        <v>1.1519999999999999</v>
      </c>
      <c r="F15" s="1" t="str">
        <f>HYPERLINK("http://www.ncbi.nlm.nih.gov/pubmed/?term=Dll1","Dll1")</f>
        <v>Dll1</v>
      </c>
    </row>
    <row r="16" spans="1:6" x14ac:dyDescent="0.25">
      <c r="A16" t="s">
        <v>1340</v>
      </c>
      <c r="B16" t="s">
        <v>644</v>
      </c>
      <c r="C16" s="43">
        <v>5.7919999999999998</v>
      </c>
      <c r="D16" s="16">
        <v>5.0049999999999999</v>
      </c>
      <c r="E16" s="3">
        <v>4.3879999999999999</v>
      </c>
      <c r="F16" s="1" t="str">
        <f>HYPERLINK("http://www.ncbi.nlm.nih.gov/pubmed/?term=Aph1a","Aph1a")</f>
        <v>Aph1a</v>
      </c>
    </row>
    <row r="17" spans="1:6" x14ac:dyDescent="0.25">
      <c r="A17" t="s">
        <v>1627</v>
      </c>
      <c r="B17" t="s">
        <v>1649</v>
      </c>
      <c r="C17" s="3">
        <v>4.42</v>
      </c>
      <c r="D17" s="41">
        <v>2.4</v>
      </c>
      <c r="E17" s="26">
        <v>-1.22</v>
      </c>
      <c r="F17" s="1" t="str">
        <f>HYPERLINK("http://www.ncbi.nlm.nih.gov/pubmed/?term=Dtx4","Dtx4")</f>
        <v>Dtx4</v>
      </c>
    </row>
    <row r="18" spans="1:6" x14ac:dyDescent="0.25">
      <c r="A18" t="s">
        <v>844</v>
      </c>
      <c r="B18" t="s">
        <v>1816</v>
      </c>
      <c r="C18" s="43">
        <v>6.617</v>
      </c>
      <c r="D18" s="21">
        <v>0.5917</v>
      </c>
      <c r="E18" s="22">
        <v>2.661</v>
      </c>
      <c r="F18" s="1" t="str">
        <f>HYPERLINK("http://www.ncbi.nlm.nih.gov/pubmed/?term=Dll4","Dll4")</f>
        <v>Dll4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1786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1098</v>
      </c>
      <c r="B5" t="s">
        <v>929</v>
      </c>
      <c r="C5" s="26">
        <v>-4.3019999999999996</v>
      </c>
      <c r="D5" s="50">
        <v>3.4460000000000002</v>
      </c>
      <c r="E5" s="4">
        <v>2.1880000000000002</v>
      </c>
      <c r="F5" s="1" t="str">
        <f>HYPERLINK("http://www.ncbi.nlm.nih.gov/pubmed/?term=Il10","Il10")</f>
        <v>Il10</v>
      </c>
    </row>
    <row r="6" spans="1:6" x14ac:dyDescent="0.25">
      <c r="A6" t="s">
        <v>816</v>
      </c>
      <c r="B6" t="s">
        <v>2067</v>
      </c>
      <c r="C6" s="26">
        <v>-1.4179999999999999</v>
      </c>
      <c r="D6" s="35">
        <v>6.88</v>
      </c>
      <c r="E6" s="44">
        <v>3.6739999999999999</v>
      </c>
      <c r="F6" s="1" t="str">
        <f>HYPERLINK("http://www.ncbi.nlm.nih.gov/pubmed/?term=Ccl11","Ccl11")</f>
        <v>Ccl11</v>
      </c>
    </row>
    <row r="7" spans="1:6" x14ac:dyDescent="0.25">
      <c r="A7" t="s">
        <v>1524</v>
      </c>
      <c r="B7" t="s">
        <v>1499</v>
      </c>
      <c r="C7" s="26">
        <v>-3.9929999999999999</v>
      </c>
      <c r="D7" s="26">
        <v>-2.68</v>
      </c>
      <c r="E7" s="50">
        <v>3.4220000000000002</v>
      </c>
      <c r="F7" s="1" t="str">
        <f>HYPERLINK("http://www.ncbi.nlm.nih.gov/pubmed/?term=Il4","Il4")</f>
        <v>Il4</v>
      </c>
    </row>
    <row r="8" spans="1:6" x14ac:dyDescent="0.25">
      <c r="A8" t="s">
        <v>690</v>
      </c>
      <c r="B8" t="s">
        <v>930</v>
      </c>
      <c r="C8" s="26">
        <v>-1.9550000000000001</v>
      </c>
      <c r="D8" s="26">
        <v>0.14480000000000001</v>
      </c>
      <c r="E8" s="6">
        <v>7.7869999999999999</v>
      </c>
      <c r="F8" s="1" t="str">
        <f>HYPERLINK("http://www.ncbi.nlm.nih.gov/pubmed/?term=Il13","Il13")</f>
        <v>Il13</v>
      </c>
    </row>
    <row r="9" spans="1:6" x14ac:dyDescent="0.25">
      <c r="A9" t="s">
        <v>656</v>
      </c>
      <c r="B9" t="s">
        <v>1049</v>
      </c>
      <c r="C9" s="26">
        <v>-1.929</v>
      </c>
      <c r="D9" s="30">
        <v>0.65049999999999997</v>
      </c>
      <c r="E9" s="44">
        <v>4.242</v>
      </c>
      <c r="F9" s="1" t="str">
        <f>HYPERLINK("http://www.ncbi.nlm.nih.gov/pubmed/?term=Tnf","Tnf")</f>
        <v>Tnf</v>
      </c>
    </row>
    <row r="10" spans="1:6" x14ac:dyDescent="0.25">
      <c r="A10" t="s">
        <v>1518</v>
      </c>
      <c r="B10" t="s">
        <v>630</v>
      </c>
      <c r="C10" s="26">
        <v>-1.64</v>
      </c>
      <c r="D10" s="4">
        <v>2.468</v>
      </c>
      <c r="E10" s="35">
        <v>6.8109999999999999</v>
      </c>
      <c r="F10" s="1" t="str">
        <f>HYPERLINK("http://www.ncbi.nlm.nih.gov/pubmed/?term=Prg2","Prg2")</f>
        <v>Prg2</v>
      </c>
    </row>
    <row r="11" spans="1:6" x14ac:dyDescent="0.25">
      <c r="A11" t="s">
        <v>1956</v>
      </c>
      <c r="B11" t="s">
        <v>1715</v>
      </c>
      <c r="C11" s="31">
        <v>5.9130000000000003</v>
      </c>
      <c r="D11" s="31">
        <v>5.9269999999999996</v>
      </c>
      <c r="E11" s="6">
        <v>8.0259999999999998</v>
      </c>
      <c r="F11" s="1" t="str">
        <f>HYPERLINK("http://www.ncbi.nlm.nih.gov/pubmed/?term=H2-DMb2","H2-DMb2")</f>
        <v>H2-DMb2</v>
      </c>
    </row>
    <row r="12" spans="1:6" x14ac:dyDescent="0.25">
      <c r="A12" t="s">
        <v>1491</v>
      </c>
      <c r="B12" t="s">
        <v>1428</v>
      </c>
      <c r="C12" s="26">
        <v>-0.41930000000000001</v>
      </c>
      <c r="D12" s="4">
        <v>2.2890000000000001</v>
      </c>
      <c r="E12" s="35">
        <v>6.6079999999999997</v>
      </c>
      <c r="F12" s="1" t="str">
        <f>HYPERLINK("http://www.ncbi.nlm.nih.gov/pubmed/?term=H2-Ob","H2-Ob")</f>
        <v>H2-Ob</v>
      </c>
    </row>
    <row r="13" spans="1:6" x14ac:dyDescent="0.25">
      <c r="A13" t="s">
        <v>222</v>
      </c>
      <c r="B13" t="s">
        <v>791</v>
      </c>
      <c r="C13" s="26">
        <v>-1.3029999999999999</v>
      </c>
      <c r="D13" s="26">
        <v>-0.62109999999999999</v>
      </c>
      <c r="E13" s="5">
        <v>5.4359999999999999</v>
      </c>
      <c r="F13" s="1" t="str">
        <f>HYPERLINK("http://www.ncbi.nlm.nih.gov/pubmed/?term=Fcer1g","Fcer1g")</f>
        <v>Fcer1g</v>
      </c>
    </row>
    <row r="14" spans="1:6" x14ac:dyDescent="0.25">
      <c r="A14" t="s">
        <v>1401</v>
      </c>
      <c r="B14" t="s">
        <v>591</v>
      </c>
      <c r="C14" s="49">
        <v>9.7219999999999995</v>
      </c>
      <c r="D14" s="49">
        <v>9.8309999999999995</v>
      </c>
      <c r="E14" s="43">
        <v>11.67</v>
      </c>
      <c r="F14" s="1" t="str">
        <f>HYPERLINK("http://www.ncbi.nlm.nih.gov/pubmed/?term=H2-Eb1","H2-Eb1")</f>
        <v>H2-Eb1</v>
      </c>
    </row>
    <row r="15" spans="1:6" x14ac:dyDescent="0.25">
      <c r="A15" t="s">
        <v>1753</v>
      </c>
      <c r="B15" t="s">
        <v>252</v>
      </c>
      <c r="C15" s="5">
        <v>4.8380000000000001</v>
      </c>
      <c r="D15" s="5">
        <v>4.8330000000000002</v>
      </c>
      <c r="E15" s="35">
        <v>7.3019999999999996</v>
      </c>
      <c r="F15" s="1" t="str">
        <f>HYPERLINK("http://www.ncbi.nlm.nih.gov/pubmed/?term=Cd40","Cd40")</f>
        <v>Cd40</v>
      </c>
    </row>
    <row r="16" spans="1:6" x14ac:dyDescent="0.25">
      <c r="A16" t="s">
        <v>1324</v>
      </c>
      <c r="B16" t="s">
        <v>1429</v>
      </c>
      <c r="C16" s="5">
        <v>5.2809999999999997</v>
      </c>
      <c r="D16" s="5">
        <v>5.2389999999999999</v>
      </c>
      <c r="E16" s="6">
        <v>8.2189999999999994</v>
      </c>
      <c r="F16" s="1" t="str">
        <f>HYPERLINK("http://www.ncbi.nlm.nih.gov/pubmed/?term=H2-Oa","H2-Oa")</f>
        <v>H2-Oa</v>
      </c>
    </row>
    <row r="17" spans="1:6" x14ac:dyDescent="0.25">
      <c r="A17" t="s">
        <v>528</v>
      </c>
      <c r="B17" t="s">
        <v>1739</v>
      </c>
      <c r="C17" s="49">
        <v>10.41</v>
      </c>
      <c r="D17" s="49">
        <v>10.1</v>
      </c>
      <c r="E17" s="43">
        <v>12.37</v>
      </c>
      <c r="F17" s="1" t="str">
        <f>HYPERLINK("http://www.ncbi.nlm.nih.gov/pubmed/?term=H2-Aa","H2-Aa")</f>
        <v>H2-Aa</v>
      </c>
    </row>
    <row r="18" spans="1:6" x14ac:dyDescent="0.25">
      <c r="A18" t="s">
        <v>1974</v>
      </c>
      <c r="B18" t="s">
        <v>1270</v>
      </c>
      <c r="C18" s="43">
        <v>10.67</v>
      </c>
      <c r="D18" s="49">
        <v>10.31</v>
      </c>
      <c r="E18" s="43">
        <v>12.36</v>
      </c>
      <c r="F18" s="1" t="str">
        <f>HYPERLINK("http://www.ncbi.nlm.nih.gov/pubmed/?term=H2-Ab1","H2-Ab1")</f>
        <v>H2-Ab1</v>
      </c>
    </row>
    <row r="19" spans="1:6" x14ac:dyDescent="0.25">
      <c r="A19" t="s">
        <v>1468</v>
      </c>
      <c r="B19" t="s">
        <v>1716</v>
      </c>
      <c r="C19" s="5">
        <v>5.3959999999999999</v>
      </c>
      <c r="D19" s="5">
        <v>5.0060000000000002</v>
      </c>
      <c r="E19" s="35">
        <v>6.9</v>
      </c>
      <c r="F19" s="1" t="str">
        <f>HYPERLINK("http://www.ncbi.nlm.nih.gov/pubmed/?term=H2-DMb1","H2-DMb1")</f>
        <v>H2-DMb1</v>
      </c>
    </row>
    <row r="20" spans="1:6" x14ac:dyDescent="0.25">
      <c r="A20" t="s">
        <v>865</v>
      </c>
      <c r="B20" t="s">
        <v>1044</v>
      </c>
      <c r="C20" s="35">
        <v>6.5350000000000001</v>
      </c>
      <c r="D20" s="5">
        <v>4.9409999999999998</v>
      </c>
      <c r="E20" s="31">
        <v>6.3239999999999998</v>
      </c>
      <c r="F20" s="1" t="str">
        <f>HYPERLINK("http://www.ncbi.nlm.nih.gov/pubmed/?term=H2-DMa","H2-DMa")</f>
        <v>H2-DMa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132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800</v>
      </c>
      <c r="B5" t="s">
        <v>1195</v>
      </c>
      <c r="C5" s="43">
        <v>4.9480000000000004</v>
      </c>
      <c r="D5" s="43">
        <v>5.8979999999999997</v>
      </c>
      <c r="E5" s="43">
        <v>5.4340000000000002</v>
      </c>
      <c r="F5" s="1" t="str">
        <f>HYPERLINK("http://www.ncbi.nlm.nih.gov/pubmed/?term=Ggt5","Ggt5")</f>
        <v>Ggt5</v>
      </c>
    </row>
    <row r="6" spans="1:6" x14ac:dyDescent="0.25">
      <c r="A6" t="s">
        <v>1679</v>
      </c>
      <c r="B6" t="s">
        <v>532</v>
      </c>
      <c r="C6" s="12">
        <v>0.77590000000000003</v>
      </c>
      <c r="D6" s="25">
        <v>3.3250000000000002</v>
      </c>
      <c r="E6" s="12">
        <v>1.339</v>
      </c>
      <c r="F6" s="1" t="str">
        <f>HYPERLINK("http://www.ncbi.nlm.nih.gov/pubmed/?term=Ggt6","Ggt6")</f>
        <v>Ggt6</v>
      </c>
    </row>
    <row r="7" spans="1:6" x14ac:dyDescent="0.25">
      <c r="A7" t="s">
        <v>581</v>
      </c>
      <c r="B7" t="s">
        <v>1127</v>
      </c>
      <c r="C7" s="24">
        <v>3.851</v>
      </c>
      <c r="D7" s="48">
        <v>2.3039999999999998</v>
      </c>
      <c r="E7" s="24">
        <v>3.7</v>
      </c>
      <c r="F7" s="1" t="str">
        <f>HYPERLINK("http://www.ncbi.nlm.nih.gov/pubmed/?term=Shmt1","Shmt1")</f>
        <v>Shmt1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672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1513</v>
      </c>
      <c r="B5" t="s">
        <v>1569</v>
      </c>
      <c r="C5" s="26">
        <v>-1.784</v>
      </c>
      <c r="D5" s="25">
        <v>5.5549999999999997</v>
      </c>
      <c r="E5" s="22">
        <v>5.4139999999999997</v>
      </c>
      <c r="F5" s="1" t="str">
        <f>HYPERLINK("http://www.ncbi.nlm.nih.gov/pubmed/?term=Atp1a2","Atp1a2")</f>
        <v>Atp1a2</v>
      </c>
    </row>
    <row r="6" spans="1:6" x14ac:dyDescent="0.25">
      <c r="A6" t="s">
        <v>616</v>
      </c>
      <c r="B6" t="s">
        <v>1691</v>
      </c>
      <c r="C6" s="26">
        <v>-3.294</v>
      </c>
      <c r="D6" s="48">
        <v>3.7839999999999998</v>
      </c>
      <c r="E6" s="12">
        <v>2.464</v>
      </c>
      <c r="F6" s="1" t="str">
        <f>HYPERLINK("http://www.ncbi.nlm.nih.gov/pubmed/?term=Kcnq1","Kcnq1")</f>
        <v>Kcnq1</v>
      </c>
    </row>
    <row r="7" spans="1:6" x14ac:dyDescent="0.25">
      <c r="A7" t="s">
        <v>1748</v>
      </c>
      <c r="B7" t="s">
        <v>45</v>
      </c>
      <c r="C7" s="26">
        <v>-4.4480000000000004</v>
      </c>
      <c r="D7" s="48">
        <v>3.7269999999999999</v>
      </c>
      <c r="E7" s="26">
        <v>-0.52180000000000004</v>
      </c>
      <c r="F7" s="1" t="str">
        <f>HYPERLINK("http://www.ncbi.nlm.nih.gov/pubmed/?term=Adcy2","Adcy2")</f>
        <v>Adcy2</v>
      </c>
    </row>
    <row r="8" spans="1:6" x14ac:dyDescent="0.25">
      <c r="A8" t="s">
        <v>1941</v>
      </c>
      <c r="B8" t="s">
        <v>40</v>
      </c>
      <c r="C8" s="26">
        <v>-4.2069999999999999</v>
      </c>
      <c r="D8" s="32">
        <v>3.33</v>
      </c>
      <c r="E8" s="12">
        <v>2.3940000000000001</v>
      </c>
      <c r="F8" s="1" t="str">
        <f>HYPERLINK("http://www.ncbi.nlm.nih.gov/pubmed/?term=Adcy5","Adcy5")</f>
        <v>Adcy5</v>
      </c>
    </row>
    <row r="9" spans="1:6" x14ac:dyDescent="0.25">
      <c r="A9" t="s">
        <v>1281</v>
      </c>
      <c r="B9" t="s">
        <v>41</v>
      </c>
      <c r="C9" s="12">
        <v>2.4159999999999999</v>
      </c>
      <c r="D9" s="48">
        <v>3.5110000000000001</v>
      </c>
      <c r="E9" s="32">
        <v>2.5619999999999998</v>
      </c>
      <c r="F9" s="1" t="str">
        <f>HYPERLINK("http://www.ncbi.nlm.nih.gov/pubmed/?term=Adcy6","Adcy6")</f>
        <v>Adcy6</v>
      </c>
    </row>
    <row r="10" spans="1:6" x14ac:dyDescent="0.25">
      <c r="A10" t="s">
        <v>99</v>
      </c>
      <c r="B10" t="s">
        <v>1087</v>
      </c>
      <c r="C10" s="12">
        <v>2.407</v>
      </c>
      <c r="D10" s="29">
        <v>7.04</v>
      </c>
      <c r="E10" s="25">
        <v>6.2859999999999996</v>
      </c>
      <c r="F10" s="1" t="str">
        <f>HYPERLINK("http://www.ncbi.nlm.nih.gov/pubmed/?term=Atp1b1","Atp1b1")</f>
        <v>Atp1b1</v>
      </c>
    </row>
    <row r="11" spans="1:6" x14ac:dyDescent="0.25">
      <c r="A11" t="s">
        <v>503</v>
      </c>
      <c r="B11" t="s">
        <v>1482</v>
      </c>
      <c r="C11" s="26">
        <v>-2.847</v>
      </c>
      <c r="D11" s="48">
        <v>3.7280000000000002</v>
      </c>
      <c r="E11" s="26">
        <v>5.5149999999999998E-2</v>
      </c>
      <c r="F11" s="1" t="str">
        <f>HYPERLINK("http://www.ncbi.nlm.nih.gov/pubmed/?term=Car2","Car2")</f>
        <v>Car2</v>
      </c>
    </row>
    <row r="12" spans="1:6" x14ac:dyDescent="0.25">
      <c r="A12" t="s">
        <v>730</v>
      </c>
      <c r="B12" t="s">
        <v>777</v>
      </c>
      <c r="C12" s="12">
        <v>2.1339999999999999</v>
      </c>
      <c r="D12" s="22">
        <v>4.7649999999999997</v>
      </c>
      <c r="E12" s="32">
        <v>2.6150000000000002</v>
      </c>
      <c r="F12" s="1" t="str">
        <f>HYPERLINK("http://www.ncbi.nlm.nih.gov/pubmed/?term=Itpr2","Itpr2")</f>
        <v>Itpr2</v>
      </c>
    </row>
    <row r="13" spans="1:6" x14ac:dyDescent="0.25">
      <c r="A13" t="s">
        <v>1169</v>
      </c>
      <c r="B13" t="s">
        <v>62</v>
      </c>
      <c r="C13" s="26">
        <v>-2.363</v>
      </c>
      <c r="D13" s="25">
        <v>5.6109999999999998</v>
      </c>
      <c r="E13" s="22">
        <v>5.3639999999999999</v>
      </c>
      <c r="F13" s="1" t="str">
        <f>HYPERLINK("http://www.ncbi.nlm.nih.gov/pubmed/?term=Calm4","Calm4")</f>
        <v>Calm4</v>
      </c>
    </row>
    <row r="14" spans="1:6" x14ac:dyDescent="0.25">
      <c r="A14" t="s">
        <v>1212</v>
      </c>
      <c r="B14" t="s">
        <v>1935</v>
      </c>
      <c r="C14" s="26">
        <v>-0.58730000000000004</v>
      </c>
      <c r="D14" s="25">
        <v>6.1760000000000002</v>
      </c>
      <c r="E14" s="32">
        <v>2.665</v>
      </c>
      <c r="F14" s="1" t="str">
        <f>HYPERLINK("http://www.ncbi.nlm.nih.gov/pubmed/?term=Plcb2","Plcb2")</f>
        <v>Plcb2</v>
      </c>
    </row>
    <row r="15" spans="1:6" x14ac:dyDescent="0.25">
      <c r="A15" t="s">
        <v>1382</v>
      </c>
      <c r="B15" t="s">
        <v>440</v>
      </c>
      <c r="C15" s="26">
        <v>-1.218</v>
      </c>
      <c r="D15" s="48">
        <v>3.7610000000000001</v>
      </c>
      <c r="E15" s="32">
        <v>3.367</v>
      </c>
      <c r="F15" s="1" t="str">
        <f>HYPERLINK("http://www.ncbi.nlm.nih.gov/pubmed/?term=Camk2b","Camk2b")</f>
        <v>Camk2b</v>
      </c>
    </row>
    <row r="16" spans="1:6" x14ac:dyDescent="0.25">
      <c r="A16" t="s">
        <v>819</v>
      </c>
      <c r="B16" t="s">
        <v>1609</v>
      </c>
      <c r="C16" s="48">
        <v>3.9140000000000001</v>
      </c>
      <c r="D16" s="22">
        <v>5.149</v>
      </c>
      <c r="E16" s="22">
        <v>5.4859999999999998</v>
      </c>
      <c r="F16" s="1" t="str">
        <f>HYPERLINK("http://www.ncbi.nlm.nih.gov/pubmed/?term=Slc9a1","Slc9a1")</f>
        <v>Slc9a1</v>
      </c>
    </row>
    <row r="17" spans="1:6" x14ac:dyDescent="0.25">
      <c r="A17" t="s">
        <v>2195</v>
      </c>
      <c r="B17" t="s">
        <v>1912</v>
      </c>
      <c r="C17" s="43">
        <v>9.7509999999999994</v>
      </c>
      <c r="D17" s="43">
        <v>10.18</v>
      </c>
      <c r="E17" s="43">
        <v>11.23</v>
      </c>
      <c r="F17" s="1" t="str">
        <f>HYPERLINK("http://www.ncbi.nlm.nih.gov/pubmed/?term=Actb","Actb")</f>
        <v>Actb</v>
      </c>
    </row>
    <row r="18" spans="1:6" x14ac:dyDescent="0.25">
      <c r="A18" t="s">
        <v>1906</v>
      </c>
      <c r="B18" t="s">
        <v>1481</v>
      </c>
      <c r="C18" s="22">
        <v>4.8289999999999997</v>
      </c>
      <c r="D18" s="25">
        <v>5.6479999999999997</v>
      </c>
      <c r="E18" s="25">
        <v>6.157</v>
      </c>
      <c r="F18" s="1" t="str">
        <f>HYPERLINK("http://www.ncbi.nlm.nih.gov/pubmed/?term=Kcnj15","Kcnj15")</f>
        <v>Kcnj15</v>
      </c>
    </row>
    <row r="19" spans="1:6" x14ac:dyDescent="0.25">
      <c r="A19" t="s">
        <v>2124</v>
      </c>
      <c r="B19" t="s">
        <v>2188</v>
      </c>
      <c r="C19" s="26">
        <v>-1.919</v>
      </c>
      <c r="D19" s="25">
        <v>5.5629999999999997</v>
      </c>
      <c r="E19" s="25">
        <v>5.6420000000000003</v>
      </c>
      <c r="F19" s="1" t="str">
        <f>HYPERLINK("http://www.ncbi.nlm.nih.gov/pubmed/?term=Calml3","Calml3")</f>
        <v>Calml3</v>
      </c>
    </row>
    <row r="20" spans="1:6" x14ac:dyDescent="0.25">
      <c r="A20" t="s">
        <v>1824</v>
      </c>
      <c r="B20" t="s">
        <v>1784</v>
      </c>
      <c r="C20" s="26">
        <v>-2.1269999999999998</v>
      </c>
      <c r="D20" s="32">
        <v>3.4460000000000002</v>
      </c>
      <c r="E20" s="26">
        <v>-2.903</v>
      </c>
      <c r="F20" s="1" t="str">
        <f>HYPERLINK("http://www.ncbi.nlm.nih.gov/pubmed/?term=Sst","Sst")</f>
        <v>Sst</v>
      </c>
    </row>
    <row r="21" spans="1:6" x14ac:dyDescent="0.25">
      <c r="A21" t="s">
        <v>686</v>
      </c>
      <c r="B21" t="s">
        <v>593</v>
      </c>
      <c r="C21" s="24">
        <v>7.6289999999999996</v>
      </c>
      <c r="D21" s="24">
        <v>8.4730000000000008</v>
      </c>
      <c r="E21" s="29">
        <v>7.0110000000000001</v>
      </c>
      <c r="F21" s="1" t="str">
        <f>HYPERLINK("http://www.ncbi.nlm.nih.gov/pubmed/?term=Calm2","Calm2")</f>
        <v>Calm2</v>
      </c>
    </row>
    <row r="22" spans="1:6" x14ac:dyDescent="0.25">
      <c r="A22" t="s">
        <v>651</v>
      </c>
      <c r="B22" t="s">
        <v>438</v>
      </c>
      <c r="C22" s="32">
        <v>3.008</v>
      </c>
      <c r="D22" s="48">
        <v>4.3090000000000002</v>
      </c>
      <c r="E22" s="12">
        <v>2.335</v>
      </c>
      <c r="F22" s="1" t="str">
        <f>HYPERLINK("http://www.ncbi.nlm.nih.gov/pubmed/?term=Camk2d","Camk2d")</f>
        <v>Camk2d</v>
      </c>
    </row>
    <row r="23" spans="1:6" x14ac:dyDescent="0.25">
      <c r="A23" t="s">
        <v>1143</v>
      </c>
      <c r="B23" t="s">
        <v>595</v>
      </c>
      <c r="C23" s="29">
        <v>6.7370000000000001</v>
      </c>
      <c r="D23" s="25">
        <v>6.1340000000000003</v>
      </c>
      <c r="E23" s="25">
        <v>5.6020000000000003</v>
      </c>
      <c r="F23" s="1" t="str">
        <f>HYPERLINK("http://www.ncbi.nlm.nih.gov/pubmed/?term=Calm1","Calm1")</f>
        <v>Calm1</v>
      </c>
    </row>
    <row r="24" spans="1:6" x14ac:dyDescent="0.25">
      <c r="A24" t="s">
        <v>1506</v>
      </c>
      <c r="B24" t="s">
        <v>1331</v>
      </c>
      <c r="C24" s="22">
        <v>4.74</v>
      </c>
      <c r="D24" s="48">
        <v>3.9580000000000002</v>
      </c>
      <c r="E24" s="32">
        <v>2.786</v>
      </c>
      <c r="F24" s="1" t="str">
        <f>HYPERLINK("http://www.ncbi.nlm.nih.gov/pubmed/?term=Prkacb","Prkacb")</f>
        <v>Prkacb</v>
      </c>
    </row>
    <row r="25" spans="1:6" x14ac:dyDescent="0.25">
      <c r="A25" t="s">
        <v>2079</v>
      </c>
      <c r="B25" t="s">
        <v>439</v>
      </c>
      <c r="C25" s="48">
        <v>4.1420000000000003</v>
      </c>
      <c r="D25" s="32">
        <v>3.1230000000000002</v>
      </c>
      <c r="E25" s="32">
        <v>2.609</v>
      </c>
      <c r="F25" s="1" t="str">
        <f>HYPERLINK("http://www.ncbi.nlm.nih.gov/pubmed/?term=Camk2g","Camk2g")</f>
        <v>Camk2g</v>
      </c>
    </row>
    <row r="26" spans="1:6" x14ac:dyDescent="0.25">
      <c r="A26" t="s">
        <v>49</v>
      </c>
      <c r="B26" t="s">
        <v>1564</v>
      </c>
      <c r="C26" s="22">
        <v>4.6529999999999996</v>
      </c>
      <c r="D26" s="48">
        <v>3.782</v>
      </c>
      <c r="E26" s="12">
        <v>2.4590000000000001</v>
      </c>
      <c r="F26" s="1" t="str">
        <f>HYPERLINK("http://www.ncbi.nlm.nih.gov/pubmed/?term=Gnaq","Gnaq")</f>
        <v>Gnaq</v>
      </c>
    </row>
    <row r="27" spans="1:6" x14ac:dyDescent="0.25">
      <c r="A27" t="s">
        <v>272</v>
      </c>
      <c r="B27" t="s">
        <v>1005</v>
      </c>
      <c r="C27" s="25">
        <v>5.6070000000000002</v>
      </c>
      <c r="D27" s="20">
        <v>1.3480000000000001</v>
      </c>
      <c r="E27" s="26">
        <v>-0.95120000000000005</v>
      </c>
      <c r="F27" s="1" t="str">
        <f>HYPERLINK("http://www.ncbi.nlm.nih.gov/pubmed/?term=Kcnk2","Kcnk2")</f>
        <v>Kcnk2</v>
      </c>
    </row>
    <row r="28" spans="1:6" x14ac:dyDescent="0.25">
      <c r="A28" t="s">
        <v>482</v>
      </c>
      <c r="B28" t="s">
        <v>44</v>
      </c>
      <c r="C28" s="26">
        <v>7.9680000000000001E-2</v>
      </c>
      <c r="D28" s="26">
        <v>-0.70120000000000005</v>
      </c>
      <c r="E28" s="48">
        <v>3.97</v>
      </c>
      <c r="F28" s="1" t="str">
        <f>HYPERLINK("http://www.ncbi.nlm.nih.gov/pubmed/?term=Adcy1","Adcy1")</f>
        <v>Adcy1</v>
      </c>
    </row>
    <row r="29" spans="1:6" x14ac:dyDescent="0.25">
      <c r="A29" t="s">
        <v>973</v>
      </c>
      <c r="B29" t="s">
        <v>1936</v>
      </c>
      <c r="C29" s="22">
        <v>4.9489999999999998</v>
      </c>
      <c r="D29" s="48">
        <v>4.2130000000000001</v>
      </c>
      <c r="E29" s="25">
        <v>5.6050000000000004</v>
      </c>
      <c r="F29" s="1" t="str">
        <f>HYPERLINK("http://www.ncbi.nlm.nih.gov/pubmed/?term=Plcb4","Plcb4")</f>
        <v>Plcb4</v>
      </c>
    </row>
    <row r="30" spans="1:6" x14ac:dyDescent="0.25">
      <c r="A30" t="s">
        <v>1880</v>
      </c>
      <c r="B30" t="s">
        <v>1077</v>
      </c>
      <c r="C30" s="48">
        <v>3.6549999999999998</v>
      </c>
      <c r="D30" s="32">
        <v>3.3140000000000001</v>
      </c>
      <c r="E30" s="25">
        <v>6.2270000000000003</v>
      </c>
      <c r="F30" s="1" t="str">
        <f>HYPERLINK("http://www.ncbi.nlm.nih.gov/pubmed/?term=Prkca","Prkca")</f>
        <v>Prkca</v>
      </c>
    </row>
    <row r="31" spans="1:6" x14ac:dyDescent="0.25">
      <c r="A31" t="s">
        <v>1907</v>
      </c>
      <c r="B31" t="s">
        <v>594</v>
      </c>
      <c r="C31" s="29">
        <v>6.91</v>
      </c>
      <c r="D31" s="25">
        <v>6.0519999999999996</v>
      </c>
      <c r="E31" s="25">
        <v>6.492</v>
      </c>
      <c r="F31" s="1" t="str">
        <f>HYPERLINK("http://www.ncbi.nlm.nih.gov/pubmed/?term=Calm3","Calm3")</f>
        <v>Calm3</v>
      </c>
    </row>
    <row r="32" spans="1:6" x14ac:dyDescent="0.25">
      <c r="A32" t="s">
        <v>839</v>
      </c>
      <c r="B32" t="s">
        <v>1858</v>
      </c>
      <c r="C32" s="22">
        <v>4.83</v>
      </c>
      <c r="D32" s="12">
        <v>1.522</v>
      </c>
      <c r="E32" s="12">
        <v>1.887</v>
      </c>
      <c r="F32" s="1" t="str">
        <f>HYPERLINK("http://www.ncbi.nlm.nih.gov/pubmed/?term=Mylk","Mylk")</f>
        <v>Mylk</v>
      </c>
    </row>
    <row r="33" spans="1:6" x14ac:dyDescent="0.25">
      <c r="A33" t="s">
        <v>783</v>
      </c>
      <c r="B33" t="s">
        <v>27</v>
      </c>
      <c r="C33" s="29">
        <v>7.1360000000000001</v>
      </c>
      <c r="D33" s="25">
        <v>5.8879999999999999</v>
      </c>
      <c r="E33" s="29">
        <v>6.8680000000000003</v>
      </c>
      <c r="F33" s="1" t="str">
        <f>HYPERLINK("http://www.ncbi.nlm.nih.gov/pubmed/?term=Ezr","Ezr")</f>
        <v>Ezr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653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1513</v>
      </c>
      <c r="B5" t="s">
        <v>1569</v>
      </c>
      <c r="C5" s="26">
        <v>-1.784</v>
      </c>
      <c r="D5" s="28">
        <v>5.5549999999999997</v>
      </c>
      <c r="E5" s="27">
        <v>5.4139999999999997</v>
      </c>
      <c r="F5" s="1" t="str">
        <f>HYPERLINK("http://www.ncbi.nlm.nih.gov/pubmed/?term=Atp1a2","Atp1a2")</f>
        <v>Atp1a2</v>
      </c>
    </row>
    <row r="6" spans="1:6" x14ac:dyDescent="0.25">
      <c r="A6" t="s">
        <v>1748</v>
      </c>
      <c r="B6" t="s">
        <v>45</v>
      </c>
      <c r="C6" s="26">
        <v>-4.4480000000000004</v>
      </c>
      <c r="D6" s="42">
        <v>3.7269999999999999</v>
      </c>
      <c r="E6" s="26">
        <v>-0.52180000000000004</v>
      </c>
      <c r="F6" s="1" t="str">
        <f>HYPERLINK("http://www.ncbi.nlm.nih.gov/pubmed/?term=Adcy2","Adcy2")</f>
        <v>Adcy2</v>
      </c>
    </row>
    <row r="7" spans="1:6" x14ac:dyDescent="0.25">
      <c r="A7" t="s">
        <v>1941</v>
      </c>
      <c r="B7" t="s">
        <v>40</v>
      </c>
      <c r="C7" s="26">
        <v>-4.2069999999999999</v>
      </c>
      <c r="D7" s="47">
        <v>3.33</v>
      </c>
      <c r="E7" s="36">
        <v>2.3940000000000001</v>
      </c>
      <c r="F7" s="1" t="str">
        <f>HYPERLINK("http://www.ncbi.nlm.nih.gov/pubmed/?term=Adcy5","Adcy5")</f>
        <v>Adcy5</v>
      </c>
    </row>
    <row r="8" spans="1:6" x14ac:dyDescent="0.25">
      <c r="A8" t="s">
        <v>1281</v>
      </c>
      <c r="B8" t="s">
        <v>41</v>
      </c>
      <c r="C8" s="36">
        <v>2.4159999999999999</v>
      </c>
      <c r="D8" s="42">
        <v>3.5110000000000001</v>
      </c>
      <c r="E8" s="47">
        <v>2.5619999999999998</v>
      </c>
      <c r="F8" s="1" t="str">
        <f>HYPERLINK("http://www.ncbi.nlm.nih.gov/pubmed/?term=Adcy6","Adcy6")</f>
        <v>Adcy6</v>
      </c>
    </row>
    <row r="9" spans="1:6" x14ac:dyDescent="0.25">
      <c r="A9" t="s">
        <v>99</v>
      </c>
      <c r="B9" t="s">
        <v>1087</v>
      </c>
      <c r="C9" s="36">
        <v>2.407</v>
      </c>
      <c r="D9" s="43">
        <v>7.04</v>
      </c>
      <c r="E9" s="28">
        <v>6.2859999999999996</v>
      </c>
      <c r="F9" s="1" t="str">
        <f>HYPERLINK("http://www.ncbi.nlm.nih.gov/pubmed/?term=Atp1b1","Atp1b1")</f>
        <v>Atp1b1</v>
      </c>
    </row>
    <row r="10" spans="1:6" x14ac:dyDescent="0.25">
      <c r="A10" t="s">
        <v>730</v>
      </c>
      <c r="B10" t="s">
        <v>777</v>
      </c>
      <c r="C10" s="36">
        <v>2.1339999999999999</v>
      </c>
      <c r="D10" s="27">
        <v>4.7649999999999997</v>
      </c>
      <c r="E10" s="47">
        <v>2.6150000000000002</v>
      </c>
      <c r="F10" s="1" t="str">
        <f>HYPERLINK("http://www.ncbi.nlm.nih.gov/pubmed/?term=Itpr2","Itpr2")</f>
        <v>Itpr2</v>
      </c>
    </row>
    <row r="11" spans="1:6" x14ac:dyDescent="0.25">
      <c r="A11" t="s">
        <v>1169</v>
      </c>
      <c r="B11" t="s">
        <v>62</v>
      </c>
      <c r="C11" s="26">
        <v>-2.363</v>
      </c>
      <c r="D11" s="28">
        <v>5.6109999999999998</v>
      </c>
      <c r="E11" s="27">
        <v>5.3639999999999999</v>
      </c>
      <c r="F11" s="1" t="str">
        <f>HYPERLINK("http://www.ncbi.nlm.nih.gov/pubmed/?term=Calm4","Calm4")</f>
        <v>Calm4</v>
      </c>
    </row>
    <row r="12" spans="1:6" x14ac:dyDescent="0.25">
      <c r="A12" t="s">
        <v>1212</v>
      </c>
      <c r="B12" t="s">
        <v>1935</v>
      </c>
      <c r="C12" s="26">
        <v>-0.58730000000000004</v>
      </c>
      <c r="D12" s="28">
        <v>6.1760000000000002</v>
      </c>
      <c r="E12" s="47">
        <v>2.665</v>
      </c>
      <c r="F12" s="1" t="str">
        <f>HYPERLINK("http://www.ncbi.nlm.nih.gov/pubmed/?term=Plcb2","Plcb2")</f>
        <v>Plcb2</v>
      </c>
    </row>
    <row r="13" spans="1:6" x14ac:dyDescent="0.25">
      <c r="A13" t="s">
        <v>1204</v>
      </c>
      <c r="B13" t="s">
        <v>1984</v>
      </c>
      <c r="C13" s="47">
        <v>2.9860000000000002</v>
      </c>
      <c r="D13" s="42">
        <v>4.0620000000000003</v>
      </c>
      <c r="E13" s="42">
        <v>3.9489999999999998</v>
      </c>
      <c r="F13" s="1" t="str">
        <f>HYPERLINK("http://www.ncbi.nlm.nih.gov/pubmed/?term=Kcnma1","Kcnma1")</f>
        <v>Kcnma1</v>
      </c>
    </row>
    <row r="14" spans="1:6" x14ac:dyDescent="0.25">
      <c r="A14" t="s">
        <v>160</v>
      </c>
      <c r="B14" t="s">
        <v>1225</v>
      </c>
      <c r="C14" s="36">
        <v>2.093</v>
      </c>
      <c r="D14" s="27">
        <v>5.4379999999999997</v>
      </c>
      <c r="E14" s="28">
        <v>6.3789999999999996</v>
      </c>
      <c r="F14" s="1" t="str">
        <f>HYPERLINK("http://www.ncbi.nlm.nih.gov/pubmed/?term=Lpo","Lpo")</f>
        <v>Lpo</v>
      </c>
    </row>
    <row r="15" spans="1:6" x14ac:dyDescent="0.25">
      <c r="A15" t="s">
        <v>819</v>
      </c>
      <c r="B15" t="s">
        <v>1609</v>
      </c>
      <c r="C15" s="42">
        <v>3.9140000000000001</v>
      </c>
      <c r="D15" s="27">
        <v>5.149</v>
      </c>
      <c r="E15" s="27">
        <v>5.4859999999999998</v>
      </c>
      <c r="F15" s="1" t="str">
        <f>HYPERLINK("http://www.ncbi.nlm.nih.gov/pubmed/?term=Slc9a1","Slc9a1")</f>
        <v>Slc9a1</v>
      </c>
    </row>
    <row r="16" spans="1:6" x14ac:dyDescent="0.25">
      <c r="A16" t="s">
        <v>1913</v>
      </c>
      <c r="B16" t="s">
        <v>550</v>
      </c>
      <c r="C16" s="14">
        <v>1.4730000000000001</v>
      </c>
      <c r="D16" s="47">
        <v>2.86</v>
      </c>
      <c r="E16" s="42">
        <v>3.766</v>
      </c>
      <c r="F16" s="1" t="str">
        <f>HYPERLINK("http://www.ncbi.nlm.nih.gov/pubmed/?term=Adrb2","Adrb2")</f>
        <v>Adrb2</v>
      </c>
    </row>
    <row r="17" spans="1:6" x14ac:dyDescent="0.25">
      <c r="A17" t="s">
        <v>2124</v>
      </c>
      <c r="B17" t="s">
        <v>2188</v>
      </c>
      <c r="C17" s="26">
        <v>-1.919</v>
      </c>
      <c r="D17" s="28">
        <v>5.5629999999999997</v>
      </c>
      <c r="E17" s="28">
        <v>5.6420000000000003</v>
      </c>
      <c r="F17" s="1" t="str">
        <f>HYPERLINK("http://www.ncbi.nlm.nih.gov/pubmed/?term=Calml3","Calml3")</f>
        <v>Calml3</v>
      </c>
    </row>
    <row r="18" spans="1:6" x14ac:dyDescent="0.25">
      <c r="A18" t="s">
        <v>1235</v>
      </c>
      <c r="B18" t="s">
        <v>1388</v>
      </c>
      <c r="C18" s="26">
        <v>-0.88870000000000005</v>
      </c>
      <c r="D18" s="27">
        <v>5.1470000000000002</v>
      </c>
      <c r="E18" s="28">
        <v>5.7060000000000004</v>
      </c>
      <c r="F18" s="1" t="str">
        <f>HYPERLINK("http://www.ncbi.nlm.nih.gov/pubmed/?term=Lyz1","Lyz1")</f>
        <v>Lyz1</v>
      </c>
    </row>
    <row r="19" spans="1:6" x14ac:dyDescent="0.25">
      <c r="A19" t="s">
        <v>2041</v>
      </c>
      <c r="B19" t="s">
        <v>589</v>
      </c>
      <c r="C19" s="26">
        <v>0.34389999999999998</v>
      </c>
      <c r="D19" s="42">
        <v>4.1280000000000001</v>
      </c>
      <c r="E19" s="43">
        <v>7.4729999999999999</v>
      </c>
      <c r="F19" s="1" t="str">
        <f>HYPERLINK("http://www.ncbi.nlm.nih.gov/pubmed/?term=Lyz2","Lyz2")</f>
        <v>Lyz2</v>
      </c>
    </row>
    <row r="20" spans="1:6" x14ac:dyDescent="0.25">
      <c r="A20" t="s">
        <v>1000</v>
      </c>
      <c r="B20" t="s">
        <v>1229</v>
      </c>
      <c r="C20" s="42">
        <v>3.706</v>
      </c>
      <c r="D20" s="42">
        <v>4.0140000000000002</v>
      </c>
      <c r="E20" s="36">
        <v>1.823</v>
      </c>
      <c r="F20" s="1" t="str">
        <f>HYPERLINK("http://www.ncbi.nlm.nih.gov/pubmed/?term=Slc12a2","Slc12a2")</f>
        <v>Slc12a2</v>
      </c>
    </row>
    <row r="21" spans="1:6" x14ac:dyDescent="0.25">
      <c r="A21" t="s">
        <v>686</v>
      </c>
      <c r="B21" t="s">
        <v>593</v>
      </c>
      <c r="C21" s="43">
        <v>7.6289999999999996</v>
      </c>
      <c r="D21" s="43">
        <v>8.4730000000000008</v>
      </c>
      <c r="E21" s="43">
        <v>7.0110000000000001</v>
      </c>
      <c r="F21" s="1" t="str">
        <f>HYPERLINK("http://www.ncbi.nlm.nih.gov/pubmed/?term=Calm2","Calm2")</f>
        <v>Calm2</v>
      </c>
    </row>
    <row r="22" spans="1:6" x14ac:dyDescent="0.25">
      <c r="A22" t="s">
        <v>1143</v>
      </c>
      <c r="B22" t="s">
        <v>595</v>
      </c>
      <c r="C22" s="43">
        <v>6.7370000000000001</v>
      </c>
      <c r="D22" s="28">
        <v>6.1340000000000003</v>
      </c>
      <c r="E22" s="28">
        <v>5.6020000000000003</v>
      </c>
      <c r="F22" s="1" t="str">
        <f>HYPERLINK("http://www.ncbi.nlm.nih.gov/pubmed/?term=Calm1","Calm1")</f>
        <v>Calm1</v>
      </c>
    </row>
    <row r="23" spans="1:6" x14ac:dyDescent="0.25">
      <c r="A23" t="s">
        <v>1506</v>
      </c>
      <c r="B23" t="s">
        <v>1331</v>
      </c>
      <c r="C23" s="27">
        <v>4.74</v>
      </c>
      <c r="D23" s="42">
        <v>3.9580000000000002</v>
      </c>
      <c r="E23" s="47">
        <v>2.786</v>
      </c>
      <c r="F23" s="1" t="str">
        <f>HYPERLINK("http://www.ncbi.nlm.nih.gov/pubmed/?term=Prkacb","Prkacb")</f>
        <v>Prkacb</v>
      </c>
    </row>
    <row r="24" spans="1:6" x14ac:dyDescent="0.25">
      <c r="A24" t="s">
        <v>49</v>
      </c>
      <c r="B24" t="s">
        <v>1564</v>
      </c>
      <c r="C24" s="27">
        <v>4.6529999999999996</v>
      </c>
      <c r="D24" s="42">
        <v>3.782</v>
      </c>
      <c r="E24" s="36">
        <v>2.4590000000000001</v>
      </c>
      <c r="F24" s="1" t="str">
        <f>HYPERLINK("http://www.ncbi.nlm.nih.gov/pubmed/?term=Gnaq","Gnaq")</f>
        <v>Gnaq</v>
      </c>
    </row>
    <row r="25" spans="1:6" x14ac:dyDescent="0.25">
      <c r="A25" t="s">
        <v>1503</v>
      </c>
      <c r="B25" t="s">
        <v>1220</v>
      </c>
      <c r="C25" s="42">
        <v>3.55</v>
      </c>
      <c r="D25" s="14">
        <v>0.51980000000000004</v>
      </c>
      <c r="E25" s="26">
        <v>-0.80700000000000005</v>
      </c>
      <c r="F25" s="1" t="str">
        <f>HYPERLINK("http://www.ncbi.nlm.nih.gov/pubmed/?term=Gucy1a2","Gucy1a2")</f>
        <v>Gucy1a2</v>
      </c>
    </row>
    <row r="26" spans="1:6" x14ac:dyDescent="0.25">
      <c r="A26" t="s">
        <v>482</v>
      </c>
      <c r="B26" t="s">
        <v>44</v>
      </c>
      <c r="C26" s="26">
        <v>7.9680000000000001E-2</v>
      </c>
      <c r="D26" s="26">
        <v>-0.70120000000000005</v>
      </c>
      <c r="E26" s="42">
        <v>3.97</v>
      </c>
      <c r="F26" s="1" t="str">
        <f>HYPERLINK("http://www.ncbi.nlm.nih.gov/pubmed/?term=Adcy1","Adcy1")</f>
        <v>Adcy1</v>
      </c>
    </row>
    <row r="27" spans="1:6" x14ac:dyDescent="0.25">
      <c r="A27" t="s">
        <v>1054</v>
      </c>
      <c r="B27" t="s">
        <v>1167</v>
      </c>
      <c r="C27" s="42">
        <v>3.7650000000000001</v>
      </c>
      <c r="D27" s="47">
        <v>2.75</v>
      </c>
      <c r="E27" s="27">
        <v>4.742</v>
      </c>
      <c r="F27" s="1" t="str">
        <f>HYPERLINK("http://www.ncbi.nlm.nih.gov/pubmed/?term=Atp2b4","Atp2b4")</f>
        <v>Atp2b4</v>
      </c>
    </row>
    <row r="28" spans="1:6" x14ac:dyDescent="0.25">
      <c r="A28" t="s">
        <v>973</v>
      </c>
      <c r="B28" t="s">
        <v>1936</v>
      </c>
      <c r="C28" s="27">
        <v>4.9489999999999998</v>
      </c>
      <c r="D28" s="42">
        <v>4.2130000000000001</v>
      </c>
      <c r="E28" s="28">
        <v>5.6050000000000004</v>
      </c>
      <c r="F28" s="1" t="str">
        <f>HYPERLINK("http://www.ncbi.nlm.nih.gov/pubmed/?term=Plcb4","Plcb4")</f>
        <v>Plcb4</v>
      </c>
    </row>
    <row r="29" spans="1:6" x14ac:dyDescent="0.25">
      <c r="A29" t="s">
        <v>1880</v>
      </c>
      <c r="B29" t="s">
        <v>1077</v>
      </c>
      <c r="C29" s="42">
        <v>3.6549999999999998</v>
      </c>
      <c r="D29" s="47">
        <v>3.3140000000000001</v>
      </c>
      <c r="E29" s="28">
        <v>6.2270000000000003</v>
      </c>
      <c r="F29" s="1" t="str">
        <f>HYPERLINK("http://www.ncbi.nlm.nih.gov/pubmed/?term=Prkca","Prkca")</f>
        <v>Prkca</v>
      </c>
    </row>
    <row r="30" spans="1:6" x14ac:dyDescent="0.25">
      <c r="A30" t="s">
        <v>1907</v>
      </c>
      <c r="B30" t="s">
        <v>594</v>
      </c>
      <c r="C30" s="43">
        <v>6.91</v>
      </c>
      <c r="D30" s="28">
        <v>6.0519999999999996</v>
      </c>
      <c r="E30" s="28">
        <v>6.492</v>
      </c>
      <c r="F30" s="1" t="str">
        <f>HYPERLINK("http://www.ncbi.nlm.nih.gov/pubmed/?term=Calm3","Calm3")</f>
        <v>Calm3</v>
      </c>
    </row>
    <row r="31" spans="1:6" x14ac:dyDescent="0.25">
      <c r="A31" t="s">
        <v>1290</v>
      </c>
      <c r="B31" t="s">
        <v>1304</v>
      </c>
      <c r="C31" s="28">
        <v>6.2549999999999999</v>
      </c>
      <c r="D31" s="47">
        <v>3.4340000000000002</v>
      </c>
      <c r="E31" s="27">
        <v>5.0910000000000002</v>
      </c>
      <c r="F31" s="1" t="str">
        <f>HYPERLINK("http://www.ncbi.nlm.nih.gov/pubmed/?term=Fxyd2","Fxyd2")</f>
        <v>Fxyd2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354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1513</v>
      </c>
      <c r="B5" t="s">
        <v>1569</v>
      </c>
      <c r="C5" s="26">
        <v>-1.784</v>
      </c>
      <c r="D5" s="43">
        <v>5.5549999999999997</v>
      </c>
      <c r="E5" s="16">
        <v>5.4139999999999997</v>
      </c>
      <c r="F5" s="1" t="str">
        <f>HYPERLINK("http://www.ncbi.nlm.nih.gov/pubmed/?term=Atp1a2","Atp1a2")</f>
        <v>Atp1a2</v>
      </c>
    </row>
    <row r="6" spans="1:6" x14ac:dyDescent="0.25">
      <c r="A6" t="s">
        <v>616</v>
      </c>
      <c r="B6" t="s">
        <v>1691</v>
      </c>
      <c r="C6" s="26">
        <v>-3.294</v>
      </c>
      <c r="D6" s="3">
        <v>3.7839999999999998</v>
      </c>
      <c r="E6" s="41">
        <v>2.464</v>
      </c>
      <c r="F6" s="1" t="str">
        <f>HYPERLINK("http://www.ncbi.nlm.nih.gov/pubmed/?term=Kcnq1","Kcnq1")</f>
        <v>Kcnq1</v>
      </c>
    </row>
    <row r="7" spans="1:6" x14ac:dyDescent="0.25">
      <c r="A7" t="s">
        <v>2015</v>
      </c>
      <c r="B7" t="s">
        <v>1322</v>
      </c>
      <c r="C7" s="41">
        <v>2.1160000000000001</v>
      </c>
      <c r="D7" s="43">
        <v>7.1790000000000003</v>
      </c>
      <c r="E7" s="16">
        <v>5.2649999999999997</v>
      </c>
      <c r="F7" s="1" t="str">
        <f>HYPERLINK("http://www.ncbi.nlm.nih.gov/pubmed/?term=Atp2a3","Atp2a3")</f>
        <v>Atp2a3</v>
      </c>
    </row>
    <row r="8" spans="1:6" x14ac:dyDescent="0.25">
      <c r="A8" t="s">
        <v>1748</v>
      </c>
      <c r="B8" t="s">
        <v>45</v>
      </c>
      <c r="C8" s="26">
        <v>-4.4480000000000004</v>
      </c>
      <c r="D8" s="3">
        <v>3.7269999999999999</v>
      </c>
      <c r="E8" s="26">
        <v>-0.52180000000000004</v>
      </c>
      <c r="F8" s="1" t="str">
        <f>HYPERLINK("http://www.ncbi.nlm.nih.gov/pubmed/?term=Adcy2","Adcy2")</f>
        <v>Adcy2</v>
      </c>
    </row>
    <row r="9" spans="1:6" x14ac:dyDescent="0.25">
      <c r="A9" t="s">
        <v>1941</v>
      </c>
      <c r="B9" t="s">
        <v>40</v>
      </c>
      <c r="C9" s="26">
        <v>-4.2069999999999999</v>
      </c>
      <c r="D9" s="22">
        <v>3.33</v>
      </c>
      <c r="E9" s="41">
        <v>2.3940000000000001</v>
      </c>
      <c r="F9" s="1" t="str">
        <f>HYPERLINK("http://www.ncbi.nlm.nih.gov/pubmed/?term=Adcy5","Adcy5")</f>
        <v>Adcy5</v>
      </c>
    </row>
    <row r="10" spans="1:6" x14ac:dyDescent="0.25">
      <c r="A10" t="s">
        <v>1281</v>
      </c>
      <c r="B10" t="s">
        <v>41</v>
      </c>
      <c r="C10" s="41">
        <v>2.4159999999999999</v>
      </c>
      <c r="D10" s="3">
        <v>3.5110000000000001</v>
      </c>
      <c r="E10" s="22">
        <v>2.5619999999999998</v>
      </c>
      <c r="F10" s="1" t="str">
        <f>HYPERLINK("http://www.ncbi.nlm.nih.gov/pubmed/?term=Adcy6","Adcy6")</f>
        <v>Adcy6</v>
      </c>
    </row>
    <row r="11" spans="1:6" x14ac:dyDescent="0.25">
      <c r="A11" t="s">
        <v>99</v>
      </c>
      <c r="B11" t="s">
        <v>1087</v>
      </c>
      <c r="C11" s="41">
        <v>2.407</v>
      </c>
      <c r="D11" s="43">
        <v>7.04</v>
      </c>
      <c r="E11" s="43">
        <v>6.2859999999999996</v>
      </c>
      <c r="F11" s="1" t="str">
        <f>HYPERLINK("http://www.ncbi.nlm.nih.gov/pubmed/?term=Atp1b1","Atp1b1")</f>
        <v>Atp1b1</v>
      </c>
    </row>
    <row r="12" spans="1:6" x14ac:dyDescent="0.25">
      <c r="A12" t="s">
        <v>503</v>
      </c>
      <c r="B12" t="s">
        <v>1482</v>
      </c>
      <c r="C12" s="26">
        <v>-2.847</v>
      </c>
      <c r="D12" s="3">
        <v>3.7280000000000002</v>
      </c>
      <c r="E12" s="26">
        <v>5.5149999999999998E-2</v>
      </c>
      <c r="F12" s="1" t="str">
        <f>HYPERLINK("http://www.ncbi.nlm.nih.gov/pubmed/?term=Car2","Car2")</f>
        <v>Car2</v>
      </c>
    </row>
    <row r="13" spans="1:6" x14ac:dyDescent="0.25">
      <c r="A13" t="s">
        <v>1959</v>
      </c>
      <c r="B13" t="s">
        <v>1677</v>
      </c>
      <c r="C13" s="26">
        <v>-3.3370000000000002</v>
      </c>
      <c r="D13" s="16">
        <v>4.6449999999999996</v>
      </c>
      <c r="E13" s="41">
        <v>2.181</v>
      </c>
      <c r="F13" s="1" t="str">
        <f>HYPERLINK("http://www.ncbi.nlm.nih.gov/pubmed/?term=Clca3","Clca3")</f>
        <v>Clca3</v>
      </c>
    </row>
    <row r="14" spans="1:6" x14ac:dyDescent="0.25">
      <c r="A14" t="s">
        <v>471</v>
      </c>
      <c r="B14" t="s">
        <v>1676</v>
      </c>
      <c r="C14" s="26">
        <v>-2.1139999999999999</v>
      </c>
      <c r="D14" s="43">
        <v>7.0510000000000002</v>
      </c>
      <c r="E14" s="16">
        <v>5.141</v>
      </c>
      <c r="F14" s="1" t="str">
        <f>HYPERLINK("http://www.ncbi.nlm.nih.gov/pubmed/?term=Clca2","Clca2")</f>
        <v>Clca2</v>
      </c>
    </row>
    <row r="15" spans="1:6" x14ac:dyDescent="0.25">
      <c r="A15" t="s">
        <v>730</v>
      </c>
      <c r="B15" t="s">
        <v>777</v>
      </c>
      <c r="C15" s="41">
        <v>2.1339999999999999</v>
      </c>
      <c r="D15" s="16">
        <v>4.7649999999999997</v>
      </c>
      <c r="E15" s="22">
        <v>2.6150000000000002</v>
      </c>
      <c r="F15" s="1" t="str">
        <f>HYPERLINK("http://www.ncbi.nlm.nih.gov/pubmed/?term=Itpr2","Itpr2")</f>
        <v>Itpr2</v>
      </c>
    </row>
    <row r="16" spans="1:6" x14ac:dyDescent="0.25">
      <c r="A16" t="s">
        <v>1656</v>
      </c>
      <c r="B16" t="s">
        <v>352</v>
      </c>
      <c r="C16" s="26">
        <v>-3.024</v>
      </c>
      <c r="D16" s="43">
        <v>6.1070000000000002</v>
      </c>
      <c r="E16" s="3">
        <v>4.4989999999999997</v>
      </c>
      <c r="F16" s="1" t="str">
        <f>HYPERLINK("http://www.ncbi.nlm.nih.gov/pubmed/?term=Clca4","Clca4")</f>
        <v>Clca4</v>
      </c>
    </row>
    <row r="17" spans="1:6" x14ac:dyDescent="0.25">
      <c r="A17" t="s">
        <v>1212</v>
      </c>
      <c r="B17" t="s">
        <v>1935</v>
      </c>
      <c r="C17" s="26">
        <v>-0.58730000000000004</v>
      </c>
      <c r="D17" s="43">
        <v>6.1760000000000002</v>
      </c>
      <c r="E17" s="22">
        <v>2.665</v>
      </c>
      <c r="F17" s="1" t="str">
        <f>HYPERLINK("http://www.ncbi.nlm.nih.gov/pubmed/?term=Plcb2","Plcb2")</f>
        <v>Plcb2</v>
      </c>
    </row>
    <row r="18" spans="1:6" x14ac:dyDescent="0.25">
      <c r="A18" t="s">
        <v>673</v>
      </c>
      <c r="B18" t="s">
        <v>1678</v>
      </c>
      <c r="C18" s="26">
        <v>-1.58</v>
      </c>
      <c r="D18" s="16">
        <v>4.6909999999999998</v>
      </c>
      <c r="E18" s="41">
        <v>2.331</v>
      </c>
      <c r="F18" s="1" t="str">
        <f>HYPERLINK("http://www.ncbi.nlm.nih.gov/pubmed/?term=Clca1","Clca1")</f>
        <v>Clca1</v>
      </c>
    </row>
    <row r="19" spans="1:6" x14ac:dyDescent="0.25">
      <c r="A19" t="s">
        <v>1204</v>
      </c>
      <c r="B19" t="s">
        <v>1984</v>
      </c>
      <c r="C19" s="22">
        <v>2.9860000000000002</v>
      </c>
      <c r="D19" s="3">
        <v>4.0620000000000003</v>
      </c>
      <c r="E19" s="3">
        <v>3.9489999999999998</v>
      </c>
      <c r="F19" s="1" t="str">
        <f>HYPERLINK("http://www.ncbi.nlm.nih.gov/pubmed/?term=Kcnma1","Kcnma1")</f>
        <v>Kcnma1</v>
      </c>
    </row>
    <row r="20" spans="1:6" x14ac:dyDescent="0.25">
      <c r="A20" t="s">
        <v>819</v>
      </c>
      <c r="B20" t="s">
        <v>1609</v>
      </c>
      <c r="C20" s="3">
        <v>3.9140000000000001</v>
      </c>
      <c r="D20" s="16">
        <v>5.149</v>
      </c>
      <c r="E20" s="16">
        <v>5.4859999999999998</v>
      </c>
      <c r="F20" s="1" t="str">
        <f>HYPERLINK("http://www.ncbi.nlm.nih.gov/pubmed/?term=Slc9a1","Slc9a1")</f>
        <v>Slc9a1</v>
      </c>
    </row>
    <row r="21" spans="1:6" x14ac:dyDescent="0.25">
      <c r="A21" t="s">
        <v>2186</v>
      </c>
      <c r="B21" t="s">
        <v>1752</v>
      </c>
      <c r="C21" s="26">
        <v>-1.3720000000000001</v>
      </c>
      <c r="D21" s="41">
        <v>1.534</v>
      </c>
      <c r="E21" s="22">
        <v>3.37</v>
      </c>
      <c r="F21" s="1" t="str">
        <f>HYPERLINK("http://www.ncbi.nlm.nih.gov/pubmed/?term=Pla2g3","Pla2g3")</f>
        <v>Pla2g3</v>
      </c>
    </row>
    <row r="22" spans="1:6" x14ac:dyDescent="0.25">
      <c r="A22" t="s">
        <v>1673</v>
      </c>
      <c r="B22" t="s">
        <v>2139</v>
      </c>
      <c r="C22" s="26">
        <v>-3.4129999999999998</v>
      </c>
      <c r="D22" s="41">
        <v>2.3439999999999999</v>
      </c>
      <c r="E22" s="16">
        <v>4.8490000000000002</v>
      </c>
      <c r="F22" s="1" t="str">
        <f>HYPERLINK("http://www.ncbi.nlm.nih.gov/pubmed/?term=Sct","Sct")</f>
        <v>Sct</v>
      </c>
    </row>
    <row r="23" spans="1:6" x14ac:dyDescent="0.25">
      <c r="A23" t="s">
        <v>1000</v>
      </c>
      <c r="B23" t="s">
        <v>1229</v>
      </c>
      <c r="C23" s="3">
        <v>3.706</v>
      </c>
      <c r="D23" s="3">
        <v>4.0140000000000002</v>
      </c>
      <c r="E23" s="41">
        <v>1.823</v>
      </c>
      <c r="F23" s="1" t="str">
        <f>HYPERLINK("http://www.ncbi.nlm.nih.gov/pubmed/?term=Slc12a2","Slc12a2")</f>
        <v>Slc12a2</v>
      </c>
    </row>
    <row r="24" spans="1:6" x14ac:dyDescent="0.25">
      <c r="A24" t="s">
        <v>129</v>
      </c>
      <c r="B24" t="s">
        <v>1680</v>
      </c>
      <c r="C24" s="22">
        <v>2.794</v>
      </c>
      <c r="D24" s="3">
        <v>3.734</v>
      </c>
      <c r="E24" s="21">
        <v>1.246</v>
      </c>
      <c r="F24" s="1" t="str">
        <f>HYPERLINK("http://www.ncbi.nlm.nih.gov/pubmed/?term=Clca5","Clca5")</f>
        <v>Clca5</v>
      </c>
    </row>
    <row r="25" spans="1:6" x14ac:dyDescent="0.25">
      <c r="A25" t="s">
        <v>49</v>
      </c>
      <c r="B25" t="s">
        <v>1564</v>
      </c>
      <c r="C25" s="16">
        <v>4.6529999999999996</v>
      </c>
      <c r="D25" s="3">
        <v>3.782</v>
      </c>
      <c r="E25" s="41">
        <v>2.4590000000000001</v>
      </c>
      <c r="F25" s="1" t="str">
        <f>HYPERLINK("http://www.ncbi.nlm.nih.gov/pubmed/?term=Gnaq","Gnaq")</f>
        <v>Gnaq</v>
      </c>
    </row>
    <row r="26" spans="1:6" x14ac:dyDescent="0.25">
      <c r="A26" t="s">
        <v>1405</v>
      </c>
      <c r="B26" t="s">
        <v>324</v>
      </c>
      <c r="C26" s="16">
        <v>4.6399999999999997</v>
      </c>
      <c r="D26" s="3">
        <v>3.55</v>
      </c>
      <c r="E26" s="41">
        <v>2.0569999999999999</v>
      </c>
      <c r="F26" s="1" t="str">
        <f>HYPERLINK("http://www.ncbi.nlm.nih.gov/pubmed/?term=Tpcn2","Tpcn2")</f>
        <v>Tpcn2</v>
      </c>
    </row>
    <row r="27" spans="1:6" x14ac:dyDescent="0.25">
      <c r="A27" t="s">
        <v>482</v>
      </c>
      <c r="B27" t="s">
        <v>44</v>
      </c>
      <c r="C27" s="26">
        <v>7.9680000000000001E-2</v>
      </c>
      <c r="D27" s="26">
        <v>-0.70120000000000005</v>
      </c>
      <c r="E27" s="3">
        <v>3.97</v>
      </c>
      <c r="F27" s="1" t="str">
        <f>HYPERLINK("http://www.ncbi.nlm.nih.gov/pubmed/?term=Adcy1","Adcy1")</f>
        <v>Adcy1</v>
      </c>
    </row>
    <row r="28" spans="1:6" x14ac:dyDescent="0.25">
      <c r="A28" t="s">
        <v>1054</v>
      </c>
      <c r="B28" t="s">
        <v>1167</v>
      </c>
      <c r="C28" s="3">
        <v>3.7650000000000001</v>
      </c>
      <c r="D28" s="22">
        <v>2.75</v>
      </c>
      <c r="E28" s="16">
        <v>4.742</v>
      </c>
      <c r="F28" s="1" t="str">
        <f>HYPERLINK("http://www.ncbi.nlm.nih.gov/pubmed/?term=Atp2b4","Atp2b4")</f>
        <v>Atp2b4</v>
      </c>
    </row>
    <row r="29" spans="1:6" x14ac:dyDescent="0.25">
      <c r="A29" t="s">
        <v>203</v>
      </c>
      <c r="B29" t="s">
        <v>1510</v>
      </c>
      <c r="C29" s="41">
        <v>2.254</v>
      </c>
      <c r="D29" s="41">
        <v>2.1800000000000002</v>
      </c>
      <c r="E29" s="3">
        <v>4.0890000000000004</v>
      </c>
      <c r="F29" s="1" t="str">
        <f>HYPERLINK("http://www.ncbi.nlm.nih.gov/pubmed/?term=Pla2g12a","Pla2g12a")</f>
        <v>Pla2g12a</v>
      </c>
    </row>
    <row r="30" spans="1:6" x14ac:dyDescent="0.25">
      <c r="A30" t="s">
        <v>973</v>
      </c>
      <c r="B30" t="s">
        <v>1936</v>
      </c>
      <c r="C30" s="16">
        <v>4.9489999999999998</v>
      </c>
      <c r="D30" s="3">
        <v>4.2130000000000001</v>
      </c>
      <c r="E30" s="43">
        <v>5.6050000000000004</v>
      </c>
      <c r="F30" s="1" t="str">
        <f>HYPERLINK("http://www.ncbi.nlm.nih.gov/pubmed/?term=Plcb4","Plcb4")</f>
        <v>Plcb4</v>
      </c>
    </row>
    <row r="31" spans="1:6" x14ac:dyDescent="0.25">
      <c r="A31" t="s">
        <v>1880</v>
      </c>
      <c r="B31" t="s">
        <v>1077</v>
      </c>
      <c r="C31" s="3">
        <v>3.6549999999999998</v>
      </c>
      <c r="D31" s="22">
        <v>3.3140000000000001</v>
      </c>
      <c r="E31" s="43">
        <v>6.2270000000000003</v>
      </c>
      <c r="F31" s="1" t="str">
        <f>HYPERLINK("http://www.ncbi.nlm.nih.gov/pubmed/?term=Prkca","Prkca")</f>
        <v>Prkca</v>
      </c>
    </row>
    <row r="32" spans="1:6" x14ac:dyDescent="0.25">
      <c r="A32" t="s">
        <v>1290</v>
      </c>
      <c r="B32" t="s">
        <v>1304</v>
      </c>
      <c r="C32" s="43">
        <v>6.2549999999999999</v>
      </c>
      <c r="D32" s="22">
        <v>3.4340000000000002</v>
      </c>
      <c r="E32" s="16">
        <v>5.0910000000000002</v>
      </c>
      <c r="F32" s="1" t="str">
        <f>HYPERLINK("http://www.ncbi.nlm.nih.gov/pubmed/?term=Fxyd2","Fxyd2")</f>
        <v>Fxyd2</v>
      </c>
    </row>
    <row r="33" spans="1:6" x14ac:dyDescent="0.25">
      <c r="A33" t="s">
        <v>1688</v>
      </c>
      <c r="B33" t="s">
        <v>793</v>
      </c>
      <c r="C33" s="3">
        <v>3.6909999999999998</v>
      </c>
      <c r="D33" s="26">
        <v>-2.997E-2</v>
      </c>
      <c r="E33" s="26">
        <v>0.432</v>
      </c>
      <c r="F33" s="1" t="str">
        <f>HYPERLINK("http://www.ncbi.nlm.nih.gov/pubmed/?term=Slc4a4","Slc4a4")</f>
        <v>Slc4a4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2190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37">
        <v>2.2389999999999999</v>
      </c>
      <c r="D5" s="9">
        <v>7.0960000000000001</v>
      </c>
      <c r="E5" s="19">
        <v>5.49</v>
      </c>
      <c r="F5" s="1" t="str">
        <f>HYPERLINK("http://www.ncbi.nlm.nih.gov/pubmed/?term=Mapk13","Mapk13")</f>
        <v>Mapk13</v>
      </c>
    </row>
    <row r="6" spans="1:6" x14ac:dyDescent="0.25">
      <c r="A6" t="s">
        <v>2016</v>
      </c>
      <c r="B6" t="s">
        <v>1464</v>
      </c>
      <c r="C6" s="26">
        <v>-0.25159999999999999</v>
      </c>
      <c r="D6" s="19">
        <v>4.952</v>
      </c>
      <c r="E6" s="8">
        <v>0.69540000000000002</v>
      </c>
      <c r="F6" s="1" t="str">
        <f>HYPERLINK("http://www.ncbi.nlm.nih.gov/pubmed/?term=Pik3cg","Pik3cg")</f>
        <v>Pik3cg</v>
      </c>
    </row>
    <row r="7" spans="1:6" x14ac:dyDescent="0.25">
      <c r="A7" t="s">
        <v>1335</v>
      </c>
      <c r="B7" t="s">
        <v>1328</v>
      </c>
      <c r="C7" s="8">
        <v>0.53520000000000001</v>
      </c>
      <c r="D7" s="3">
        <v>5.8090000000000002</v>
      </c>
      <c r="E7" s="41">
        <v>2.5489999999999999</v>
      </c>
      <c r="F7" s="1" t="str">
        <f>HYPERLINK("http://www.ncbi.nlm.nih.gov/pubmed/?term=Pik3r5","Pik3r5")</f>
        <v>Pik3r5</v>
      </c>
    </row>
    <row r="8" spans="1:6" x14ac:dyDescent="0.25">
      <c r="A8" t="s">
        <v>318</v>
      </c>
      <c r="B8" t="s">
        <v>2095</v>
      </c>
      <c r="C8" s="26">
        <v>-5.6230000000000002</v>
      </c>
      <c r="D8" s="15">
        <v>3.54</v>
      </c>
      <c r="E8" s="26">
        <v>-0.19120000000000001</v>
      </c>
      <c r="F8" s="1" t="str">
        <f>HYPERLINK("http://www.ncbi.nlm.nih.gov/pubmed/?term=Trem2","Trem2")</f>
        <v>Trem2</v>
      </c>
    </row>
    <row r="9" spans="1:6" x14ac:dyDescent="0.25">
      <c r="A9" t="s">
        <v>276</v>
      </c>
      <c r="B9" t="s">
        <v>1181</v>
      </c>
      <c r="C9" s="41">
        <v>2.7959999999999998</v>
      </c>
      <c r="D9" s="19">
        <v>4.8380000000000001</v>
      </c>
      <c r="E9" s="41">
        <v>3.4089999999999998</v>
      </c>
      <c r="F9" s="1" t="str">
        <f>HYPERLINK("http://www.ncbi.nlm.nih.gov/pubmed/?term=Plcg2","Plcg2")</f>
        <v>Plcg2</v>
      </c>
    </row>
    <row r="10" spans="1:6" x14ac:dyDescent="0.25">
      <c r="A10" t="s">
        <v>1790</v>
      </c>
      <c r="B10" t="s">
        <v>580</v>
      </c>
      <c r="C10" s="3">
        <v>5.5129999999999999</v>
      </c>
      <c r="D10" s="3">
        <v>5.7859999999999996</v>
      </c>
      <c r="E10" s="9">
        <v>7.468</v>
      </c>
      <c r="F10" s="1" t="str">
        <f>HYPERLINK("http://www.ncbi.nlm.nih.gov/pubmed/?term=Relb","Relb")</f>
        <v>Relb</v>
      </c>
    </row>
    <row r="11" spans="1:6" x14ac:dyDescent="0.25">
      <c r="A11" t="s">
        <v>726</v>
      </c>
      <c r="B11" t="s">
        <v>1486</v>
      </c>
      <c r="C11" s="37">
        <v>2.4129999999999998</v>
      </c>
      <c r="D11" s="3">
        <v>5.7949999999999999</v>
      </c>
      <c r="E11" s="43">
        <v>8.7479999999999993</v>
      </c>
      <c r="F11" s="1" t="str">
        <f>HYPERLINK("http://www.ncbi.nlm.nih.gov/pubmed/?term=Cyba","Cyba")</f>
        <v>Cyba</v>
      </c>
    </row>
    <row r="12" spans="1:6" x14ac:dyDescent="0.25">
      <c r="A12" t="s">
        <v>1682</v>
      </c>
      <c r="B12" t="s">
        <v>1484</v>
      </c>
      <c r="C12" s="26">
        <v>-2.44</v>
      </c>
      <c r="D12" s="37">
        <v>1.6619999999999999</v>
      </c>
      <c r="E12" s="19">
        <v>4.766</v>
      </c>
      <c r="F12" s="1" t="str">
        <f>HYPERLINK("http://www.ncbi.nlm.nih.gov/pubmed/?term=Cybb","Cybb")</f>
        <v>Cybb</v>
      </c>
    </row>
    <row r="13" spans="1:6" x14ac:dyDescent="0.25">
      <c r="A13" t="s">
        <v>925</v>
      </c>
      <c r="B13" t="s">
        <v>874</v>
      </c>
      <c r="C13" s="26">
        <v>-0.30590000000000001</v>
      </c>
      <c r="D13" s="41">
        <v>3.0009999999999999</v>
      </c>
      <c r="E13" s="39">
        <v>8.1969999999999992</v>
      </c>
      <c r="F13" s="1" t="str">
        <f>HYPERLINK("http://www.ncbi.nlm.nih.gov/pubmed/?term=Ncf1","Ncf1")</f>
        <v>Ncf1</v>
      </c>
    </row>
    <row r="14" spans="1:6" x14ac:dyDescent="0.25">
      <c r="A14" t="s">
        <v>1599</v>
      </c>
      <c r="B14" t="s">
        <v>225</v>
      </c>
      <c r="C14" s="8">
        <v>0.73909999999999998</v>
      </c>
      <c r="D14" s="41">
        <v>3.1890000000000001</v>
      </c>
      <c r="E14" s="19">
        <v>4.5190000000000001</v>
      </c>
      <c r="F14" s="1" t="str">
        <f>HYPERLINK("http://www.ncbi.nlm.nih.gov/pubmed/?term=Syk","Syk")</f>
        <v>Syk</v>
      </c>
    </row>
    <row r="15" spans="1:6" x14ac:dyDescent="0.25">
      <c r="A15" t="s">
        <v>1487</v>
      </c>
      <c r="B15" t="s">
        <v>1618</v>
      </c>
      <c r="C15" s="15">
        <v>4.0289999999999999</v>
      </c>
      <c r="D15" s="19">
        <v>4.91</v>
      </c>
      <c r="E15" s="19">
        <v>5.2249999999999996</v>
      </c>
      <c r="F15" s="1" t="str">
        <f>HYPERLINK("http://www.ncbi.nlm.nih.gov/pubmed/?term=Ifngr2","Ifngr2")</f>
        <v>Ifngr2</v>
      </c>
    </row>
    <row r="16" spans="1:6" x14ac:dyDescent="0.25">
      <c r="A16" t="s">
        <v>656</v>
      </c>
      <c r="B16" t="s">
        <v>1049</v>
      </c>
      <c r="C16" s="26">
        <v>-1.929</v>
      </c>
      <c r="D16" s="8">
        <v>0.65049999999999997</v>
      </c>
      <c r="E16" s="15">
        <v>4.242</v>
      </c>
      <c r="F16" s="1" t="str">
        <f>HYPERLINK("http://www.ncbi.nlm.nih.gov/pubmed/?term=Tnf","Tnf")</f>
        <v>Tnf</v>
      </c>
    </row>
    <row r="17" spans="1:6" x14ac:dyDescent="0.25">
      <c r="A17" t="s">
        <v>1851</v>
      </c>
      <c r="B17" t="s">
        <v>1249</v>
      </c>
      <c r="C17" s="3">
        <v>6.2190000000000003</v>
      </c>
      <c r="D17" s="3">
        <v>6.3710000000000004</v>
      </c>
      <c r="E17" s="39">
        <v>7.9530000000000003</v>
      </c>
      <c r="F17" s="1" t="str">
        <f>HYPERLINK("http://www.ncbi.nlm.nih.gov/pubmed/?term=Nfkb2","Nfkb2")</f>
        <v>Nfkb2</v>
      </c>
    </row>
    <row r="18" spans="1:6" x14ac:dyDescent="0.25">
      <c r="A18" t="s">
        <v>1830</v>
      </c>
      <c r="B18" t="s">
        <v>747</v>
      </c>
      <c r="C18" s="26">
        <v>-3.5540000000000002E-2</v>
      </c>
      <c r="D18" s="19">
        <v>4.915</v>
      </c>
      <c r="E18" s="3">
        <v>6.1319999999999997</v>
      </c>
      <c r="F18" s="1" t="str">
        <f>HYPERLINK("http://www.ncbi.nlm.nih.gov/pubmed/?term=Tnfrsf11a","Tnfrsf11a")</f>
        <v>Tnfrsf11a</v>
      </c>
    </row>
    <row r="19" spans="1:6" x14ac:dyDescent="0.25">
      <c r="A19" t="s">
        <v>379</v>
      </c>
      <c r="B19" t="s">
        <v>885</v>
      </c>
      <c r="C19" s="26">
        <v>-0.49680000000000002</v>
      </c>
      <c r="D19" s="19">
        <v>4.8220000000000001</v>
      </c>
      <c r="E19" s="19">
        <v>4.93</v>
      </c>
      <c r="F19" s="1" t="str">
        <f>HYPERLINK("http://www.ncbi.nlm.nih.gov/pubmed/?term=Ncf2","Ncf2")</f>
        <v>Ncf2</v>
      </c>
    </row>
    <row r="20" spans="1:6" x14ac:dyDescent="0.25">
      <c r="A20" t="s">
        <v>577</v>
      </c>
      <c r="B20" t="s">
        <v>1318</v>
      </c>
      <c r="C20" s="15">
        <v>4.1280000000000001</v>
      </c>
      <c r="D20" s="15">
        <v>4.3479999999999999</v>
      </c>
      <c r="E20" s="19">
        <v>5.4850000000000003</v>
      </c>
      <c r="F20" s="1" t="str">
        <f>HYPERLINK("http://www.ncbi.nlm.nih.gov/pubmed/?term=Traf2","Traf2")</f>
        <v>Traf2</v>
      </c>
    </row>
    <row r="21" spans="1:6" x14ac:dyDescent="0.25">
      <c r="A21" t="s">
        <v>1230</v>
      </c>
      <c r="B21" t="s">
        <v>2172</v>
      </c>
      <c r="C21" s="37">
        <v>1.95</v>
      </c>
      <c r="D21" s="41">
        <v>3.3420000000000001</v>
      </c>
      <c r="E21" s="19">
        <v>5.1740000000000004</v>
      </c>
      <c r="F21" s="1" t="str">
        <f>HYPERLINK("http://www.ncbi.nlm.nih.gov/pubmed/?term=Tec","Tec")</f>
        <v>Tec</v>
      </c>
    </row>
    <row r="22" spans="1:6" x14ac:dyDescent="0.25">
      <c r="A22" t="s">
        <v>1352</v>
      </c>
      <c r="B22" t="s">
        <v>2160</v>
      </c>
      <c r="C22" s="19">
        <v>4.5460000000000003</v>
      </c>
      <c r="D22" s="19">
        <v>4.9820000000000002</v>
      </c>
      <c r="E22" s="3">
        <v>6.2560000000000002</v>
      </c>
      <c r="F22" s="1" t="str">
        <f>HYPERLINK("http://www.ncbi.nlm.nih.gov/pubmed/?term=Ikbkb","Ikbkb")</f>
        <v>Ikbkb</v>
      </c>
    </row>
    <row r="23" spans="1:6" x14ac:dyDescent="0.25">
      <c r="A23" t="s">
        <v>1607</v>
      </c>
      <c r="B23" t="s">
        <v>386</v>
      </c>
      <c r="C23" s="41">
        <v>2.9220000000000002</v>
      </c>
      <c r="D23" s="41">
        <v>2.9729999999999999</v>
      </c>
      <c r="E23" s="15">
        <v>4.1470000000000002</v>
      </c>
      <c r="F23" s="1" t="str">
        <f>HYPERLINK("http://www.ncbi.nlm.nih.gov/pubmed/?term=Tyk2","Tyk2")</f>
        <v>Tyk2</v>
      </c>
    </row>
    <row r="24" spans="1:6" x14ac:dyDescent="0.25">
      <c r="A24" t="s">
        <v>333</v>
      </c>
      <c r="B24" t="s">
        <v>1460</v>
      </c>
      <c r="C24" s="26">
        <v>0.44829999999999998</v>
      </c>
      <c r="D24" s="37">
        <v>2.1360000000000001</v>
      </c>
      <c r="E24" s="15">
        <v>3.8809999999999998</v>
      </c>
      <c r="F24" s="1" t="str">
        <f>HYPERLINK("http://www.ncbi.nlm.nih.gov/pubmed/?term=Pik3cb","Pik3cb")</f>
        <v>Pik3cb</v>
      </c>
    </row>
    <row r="25" spans="1:6" x14ac:dyDescent="0.25">
      <c r="A25" t="s">
        <v>1374</v>
      </c>
      <c r="B25" t="s">
        <v>1563</v>
      </c>
      <c r="C25" s="15">
        <v>4.0599999999999996</v>
      </c>
      <c r="D25" s="19">
        <v>4.5129999999999999</v>
      </c>
      <c r="E25" s="19">
        <v>5.383</v>
      </c>
      <c r="F25" s="1" t="str">
        <f>HYPERLINK("http://www.ncbi.nlm.nih.gov/pubmed/?term=Socs1","Socs1")</f>
        <v>Socs1</v>
      </c>
    </row>
    <row r="26" spans="1:6" x14ac:dyDescent="0.25">
      <c r="A26" t="s">
        <v>1141</v>
      </c>
      <c r="B26" t="s">
        <v>946</v>
      </c>
      <c r="C26" s="26">
        <v>0.36049999999999999</v>
      </c>
      <c r="D26" s="19">
        <v>4.7919999999999998</v>
      </c>
      <c r="E26" s="9">
        <v>6.7489999999999997</v>
      </c>
      <c r="F26" s="1" t="str">
        <f>HYPERLINK("http://www.ncbi.nlm.nih.gov/pubmed/?term=Blnk","Blnk")</f>
        <v>Blnk</v>
      </c>
    </row>
    <row r="27" spans="1:6" x14ac:dyDescent="0.25">
      <c r="A27" t="s">
        <v>1762</v>
      </c>
      <c r="B27" t="s">
        <v>748</v>
      </c>
      <c r="C27" s="26">
        <v>-1.2390000000000001</v>
      </c>
      <c r="D27" s="15">
        <v>3.9550000000000001</v>
      </c>
      <c r="E27" s="9">
        <v>6.63</v>
      </c>
      <c r="F27" s="1" t="str">
        <f>HYPERLINK("http://www.ncbi.nlm.nih.gov/pubmed/?term=Tnfrsf11b","Tnfrsf11b")</f>
        <v>Tnfrsf11b</v>
      </c>
    </row>
    <row r="28" spans="1:6" x14ac:dyDescent="0.25">
      <c r="A28" t="s">
        <v>80</v>
      </c>
      <c r="B28" t="s">
        <v>887</v>
      </c>
      <c r="C28" s="26">
        <v>-1.54</v>
      </c>
      <c r="D28" s="41">
        <v>2.968</v>
      </c>
      <c r="E28" s="3">
        <v>6.234</v>
      </c>
      <c r="F28" s="1" t="str">
        <f>HYPERLINK("http://www.ncbi.nlm.nih.gov/pubmed/?term=Ncf4","Ncf4")</f>
        <v>Ncf4</v>
      </c>
    </row>
    <row r="29" spans="1:6" x14ac:dyDescent="0.25">
      <c r="A29" t="s">
        <v>1897</v>
      </c>
      <c r="B29" t="s">
        <v>125</v>
      </c>
      <c r="C29" s="3">
        <v>5.548</v>
      </c>
      <c r="D29" s="3">
        <v>5.7690000000000001</v>
      </c>
      <c r="E29" s="15">
        <v>3.58</v>
      </c>
      <c r="F29" s="1" t="str">
        <f>HYPERLINK("http://www.ncbi.nlm.nih.gov/pubmed/?term=Irf9","Irf9")</f>
        <v>Irf9</v>
      </c>
    </row>
    <row r="30" spans="1:6" x14ac:dyDescent="0.25">
      <c r="A30" t="s">
        <v>1772</v>
      </c>
      <c r="B30" t="s">
        <v>2174</v>
      </c>
      <c r="C30" s="8">
        <v>0.68730000000000002</v>
      </c>
      <c r="D30" s="41">
        <v>3.3220000000000001</v>
      </c>
      <c r="E30" s="26">
        <v>-0.90480000000000005</v>
      </c>
      <c r="F30" s="1" t="str">
        <f>HYPERLINK("http://www.ncbi.nlm.nih.gov/pubmed/?term=Fhl2","Fhl2")</f>
        <v>Fhl2</v>
      </c>
    </row>
    <row r="31" spans="1:6" x14ac:dyDescent="0.25">
      <c r="A31" t="s">
        <v>1747</v>
      </c>
      <c r="B31" t="s">
        <v>1617</v>
      </c>
      <c r="C31" s="15">
        <v>4.47</v>
      </c>
      <c r="D31" s="3">
        <v>5.5170000000000003</v>
      </c>
      <c r="E31" s="15">
        <v>3.8849999999999998</v>
      </c>
      <c r="F31" s="1" t="str">
        <f>HYPERLINK("http://www.ncbi.nlm.nih.gov/pubmed/?term=Ifngr1","Ifngr1")</f>
        <v>Ifngr1</v>
      </c>
    </row>
    <row r="32" spans="1:6" x14ac:dyDescent="0.25">
      <c r="A32" t="s">
        <v>1045</v>
      </c>
      <c r="B32" t="s">
        <v>1412</v>
      </c>
      <c r="C32" s="39">
        <v>8.2629999999999999</v>
      </c>
      <c r="D32" s="43">
        <v>8.5969999999999995</v>
      </c>
      <c r="E32" s="9">
        <v>6.7990000000000004</v>
      </c>
      <c r="F32" s="1" t="str">
        <f>HYPERLINK("http://www.ncbi.nlm.nih.gov/pubmed/?term=Fos","Fos")</f>
        <v>Fos</v>
      </c>
    </row>
    <row r="33" spans="1:6" x14ac:dyDescent="0.25">
      <c r="A33" t="s">
        <v>1326</v>
      </c>
      <c r="B33" t="s">
        <v>1699</v>
      </c>
      <c r="C33" s="15">
        <v>4.1829999999999998</v>
      </c>
      <c r="D33" s="19">
        <v>4.7720000000000002</v>
      </c>
      <c r="E33" s="15">
        <v>3.6880000000000002</v>
      </c>
      <c r="F33" s="1" t="str">
        <f>HYPERLINK("http://www.ncbi.nlm.nih.gov/pubmed/?term=Ifnar2","Ifnar2")</f>
        <v>Ifnar2</v>
      </c>
    </row>
    <row r="34" spans="1:6" x14ac:dyDescent="0.25">
      <c r="A34" t="s">
        <v>1986</v>
      </c>
      <c r="B34" t="s">
        <v>1713</v>
      </c>
      <c r="C34" s="15">
        <v>4.3099999999999996</v>
      </c>
      <c r="D34" s="3">
        <v>5.56</v>
      </c>
      <c r="E34" s="41">
        <v>3.3860000000000001</v>
      </c>
      <c r="F34" s="1" t="str">
        <f>HYPERLINK("http://www.ncbi.nlm.nih.gov/pubmed/?term=Stat2","Stat2")</f>
        <v>Stat2</v>
      </c>
    </row>
    <row r="35" spans="1:6" x14ac:dyDescent="0.25">
      <c r="A35" t="s">
        <v>1884</v>
      </c>
      <c r="B35" t="s">
        <v>2000</v>
      </c>
      <c r="C35" s="43">
        <v>8.7729999999999997</v>
      </c>
      <c r="D35" s="43">
        <v>9.0190000000000001</v>
      </c>
      <c r="E35" s="9">
        <v>7.4089999999999998</v>
      </c>
      <c r="F35" s="1" t="str">
        <f>HYPERLINK("http://www.ncbi.nlm.nih.gov/pubmed/?term=Jun","Jun")</f>
        <v>Jun</v>
      </c>
    </row>
    <row r="36" spans="1:6" x14ac:dyDescent="0.25">
      <c r="A36" t="s">
        <v>1803</v>
      </c>
      <c r="B36" t="s">
        <v>1393</v>
      </c>
      <c r="C36" s="19">
        <v>4.6040000000000001</v>
      </c>
      <c r="D36" s="37">
        <v>1.738</v>
      </c>
      <c r="E36" s="8">
        <v>1.3029999999999999</v>
      </c>
      <c r="F36" s="1" t="str">
        <f>HYPERLINK("http://www.ncbi.nlm.nih.gov/pubmed/?term=Lck","Lck")</f>
        <v>Lck</v>
      </c>
    </row>
    <row r="37" spans="1:6" x14ac:dyDescent="0.25">
      <c r="A37" t="s">
        <v>31</v>
      </c>
      <c r="B37" t="s">
        <v>400</v>
      </c>
      <c r="C37" s="15">
        <v>4.476</v>
      </c>
      <c r="D37" s="15">
        <v>3.5920000000000001</v>
      </c>
      <c r="E37" s="41">
        <v>3.4319999999999999</v>
      </c>
      <c r="F37" s="1" t="str">
        <f>HYPERLINK("http://www.ncbi.nlm.nih.gov/pubmed/?term=Mapk9","Mapk9")</f>
        <v>Mapk9</v>
      </c>
    </row>
    <row r="38" spans="1:6" x14ac:dyDescent="0.25">
      <c r="A38" t="s">
        <v>834</v>
      </c>
      <c r="B38" t="s">
        <v>1552</v>
      </c>
      <c r="C38" s="19">
        <v>4.516</v>
      </c>
      <c r="D38" s="15">
        <v>3.7549999999999999</v>
      </c>
      <c r="E38" s="41">
        <v>3.4649999999999999</v>
      </c>
      <c r="F38" s="1" t="str">
        <f>HYPERLINK("http://www.ncbi.nlm.nih.gov/pubmed/?term=Mapk8","Mapk8")</f>
        <v>Mapk8</v>
      </c>
    </row>
    <row r="39" spans="1:6" x14ac:dyDescent="0.25">
      <c r="A39" t="s">
        <v>1398</v>
      </c>
      <c r="B39" t="s">
        <v>36</v>
      </c>
      <c r="C39" s="15">
        <v>4.2149999999999999</v>
      </c>
      <c r="D39" s="41">
        <v>3.403</v>
      </c>
      <c r="E39" s="37">
        <v>2.5</v>
      </c>
      <c r="F39" s="1" t="str">
        <f>HYPERLINK("http://www.ncbi.nlm.nih.gov/pubmed/?term=Tab1","Tab1")</f>
        <v>Tab1</v>
      </c>
    </row>
    <row r="40" spans="1:6" x14ac:dyDescent="0.25">
      <c r="A40" t="s">
        <v>233</v>
      </c>
      <c r="B40" t="s">
        <v>1714</v>
      </c>
      <c r="C40" s="9">
        <v>6.734</v>
      </c>
      <c r="D40" s="9">
        <v>6.7110000000000003</v>
      </c>
      <c r="E40" s="19">
        <v>5.4809999999999999</v>
      </c>
      <c r="F40" s="1" t="str">
        <f>HYPERLINK("http://www.ncbi.nlm.nih.gov/pubmed/?term=Stat1","Stat1")</f>
        <v>Stat1</v>
      </c>
    </row>
    <row r="41" spans="1:6" x14ac:dyDescent="0.25">
      <c r="A41" t="s">
        <v>242</v>
      </c>
      <c r="B41" t="s">
        <v>997</v>
      </c>
      <c r="C41" s="3">
        <v>6.056</v>
      </c>
      <c r="D41" s="19">
        <v>5.3730000000000002</v>
      </c>
      <c r="E41" s="15">
        <v>4.3070000000000004</v>
      </c>
      <c r="F41" s="1" t="str">
        <f>HYPERLINK("http://www.ncbi.nlm.nih.gov/pubmed/?term=Tnfrsf1a","Tnfrsf1a")</f>
        <v>Tnfrsf1a</v>
      </c>
    </row>
    <row r="42" spans="1:6" x14ac:dyDescent="0.25">
      <c r="A42" t="s">
        <v>1205</v>
      </c>
      <c r="B42" t="s">
        <v>1329</v>
      </c>
      <c r="C42" s="3">
        <v>5.6820000000000004</v>
      </c>
      <c r="D42" s="19">
        <v>5.0220000000000002</v>
      </c>
      <c r="E42" s="19">
        <v>4.7060000000000004</v>
      </c>
      <c r="F42" s="1" t="str">
        <f>HYPERLINK("http://www.ncbi.nlm.nih.gov/pubmed/?term=Pik3r2","Pik3r2")</f>
        <v>Pik3r2</v>
      </c>
    </row>
    <row r="43" spans="1:6" x14ac:dyDescent="0.25">
      <c r="A43" t="s">
        <v>650</v>
      </c>
      <c r="B43" t="s">
        <v>2046</v>
      </c>
      <c r="C43" s="19">
        <v>4.5739999999999998</v>
      </c>
      <c r="D43" s="37">
        <v>2.1139999999999999</v>
      </c>
      <c r="E43" s="26">
        <v>-0.61719999999999997</v>
      </c>
      <c r="F43" s="1" t="str">
        <f>HYPERLINK("http://www.ncbi.nlm.nih.gov/pubmed/?term=Tgfbr2","Tgfbr2")</f>
        <v>Tgfbr2</v>
      </c>
    </row>
    <row r="44" spans="1:6" x14ac:dyDescent="0.25">
      <c r="A44" t="s">
        <v>1546</v>
      </c>
      <c r="B44" t="s">
        <v>518</v>
      </c>
      <c r="C44" s="3">
        <v>5.74</v>
      </c>
      <c r="D44" s="15">
        <v>4.1070000000000002</v>
      </c>
      <c r="E44" s="15">
        <v>3.919</v>
      </c>
      <c r="F44" s="1" t="str">
        <f>HYPERLINK("http://www.ncbi.nlm.nih.gov/pubmed/?term=Camk4","Camk4")</f>
        <v>Camk4</v>
      </c>
    </row>
    <row r="45" spans="1:6" x14ac:dyDescent="0.25">
      <c r="A45" t="s">
        <v>731</v>
      </c>
      <c r="B45" t="s">
        <v>1330</v>
      </c>
      <c r="C45" s="19">
        <v>4.9180000000000001</v>
      </c>
      <c r="D45" s="19">
        <v>4.8079999999999998</v>
      </c>
      <c r="E45" s="15">
        <v>3.7410000000000001</v>
      </c>
      <c r="F45" s="1" t="str">
        <f>HYPERLINK("http://www.ncbi.nlm.nih.gov/pubmed/?term=Pik3r1","Pik3r1")</f>
        <v>Pik3r1</v>
      </c>
    </row>
    <row r="46" spans="1:6" x14ac:dyDescent="0.25">
      <c r="A46" t="s">
        <v>2078</v>
      </c>
      <c r="B46" t="s">
        <v>1565</v>
      </c>
      <c r="C46" s="9">
        <v>7.383</v>
      </c>
      <c r="D46" s="9">
        <v>6.9610000000000003</v>
      </c>
      <c r="E46" s="19">
        <v>5.0860000000000003</v>
      </c>
      <c r="F46" s="1" t="str">
        <f>HYPERLINK("http://www.ncbi.nlm.nih.gov/pubmed/?term=Socs3","Socs3")</f>
        <v>Socs3</v>
      </c>
    </row>
    <row r="47" spans="1:6" x14ac:dyDescent="0.25">
      <c r="A47" t="s">
        <v>1902</v>
      </c>
      <c r="B47" t="s">
        <v>292</v>
      </c>
      <c r="C47" s="19">
        <v>5.4859999999999998</v>
      </c>
      <c r="D47" s="19">
        <v>5.1769999999999996</v>
      </c>
      <c r="E47" s="15">
        <v>4.3440000000000003</v>
      </c>
      <c r="F47" s="1" t="str">
        <f>HYPERLINK("http://www.ncbi.nlm.nih.gov/pubmed/?term=Mapk14","Mapk14")</f>
        <v>Mapk14</v>
      </c>
    </row>
    <row r="48" spans="1:6" x14ac:dyDescent="0.25">
      <c r="A48" t="s">
        <v>1459</v>
      </c>
      <c r="B48" t="s">
        <v>473</v>
      </c>
      <c r="C48" s="41">
        <v>3.3570000000000002</v>
      </c>
      <c r="D48" s="41">
        <v>2.609</v>
      </c>
      <c r="E48" s="15">
        <v>3.7639999999999998</v>
      </c>
      <c r="F48" s="1" t="str">
        <f>HYPERLINK("http://www.ncbi.nlm.nih.gov/pubmed/?term=Tgfb1","Tgfb1")</f>
        <v>Tgfb1</v>
      </c>
    </row>
    <row r="49" spans="1:6" x14ac:dyDescent="0.25">
      <c r="A49" t="s">
        <v>1942</v>
      </c>
      <c r="B49" t="s">
        <v>506</v>
      </c>
      <c r="C49" s="19">
        <v>4.665</v>
      </c>
      <c r="D49" s="15">
        <v>4.1630000000000003</v>
      </c>
      <c r="E49" s="19">
        <v>5.266</v>
      </c>
      <c r="F49" s="1" t="str">
        <f>HYPERLINK("http://www.ncbi.nlm.nih.gov/pubmed/?term=Map3k14","Map3k14")</f>
        <v>Map3k14</v>
      </c>
    </row>
    <row r="50" spans="1:6" x14ac:dyDescent="0.25">
      <c r="A50" t="s">
        <v>1852</v>
      </c>
      <c r="B50" t="s">
        <v>1070</v>
      </c>
      <c r="C50" s="39">
        <v>7.577</v>
      </c>
      <c r="D50" s="39">
        <v>7.5250000000000004</v>
      </c>
      <c r="E50" s="43">
        <v>9.6739999999999995</v>
      </c>
      <c r="F50" s="1" t="str">
        <f>HYPERLINK("http://www.ncbi.nlm.nih.gov/pubmed/?term=Nfkbia","Nfkbia")</f>
        <v>Nfkbia</v>
      </c>
    </row>
    <row r="51" spans="1:6" x14ac:dyDescent="0.25">
      <c r="A51" t="s">
        <v>529</v>
      </c>
      <c r="B51" t="s">
        <v>1321</v>
      </c>
      <c r="C51" s="41">
        <v>3.3559999999999999</v>
      </c>
      <c r="D51" s="41">
        <v>3.198</v>
      </c>
      <c r="E51" s="19">
        <v>5.0339999999999998</v>
      </c>
      <c r="F51" s="1" t="str">
        <f>HYPERLINK("http://www.ncbi.nlm.nih.gov/pubmed/?term=Traf6","Traf6")</f>
        <v>Traf6</v>
      </c>
    </row>
    <row r="52" spans="1:6" x14ac:dyDescent="0.25">
      <c r="A52" t="s">
        <v>159</v>
      </c>
      <c r="B52" t="s">
        <v>1644</v>
      </c>
      <c r="C52" s="9">
        <v>6.5579999999999998</v>
      </c>
      <c r="D52" s="19">
        <v>4.7640000000000002</v>
      </c>
      <c r="E52" s="19">
        <v>5.4039999999999999</v>
      </c>
      <c r="F52" s="1" t="str">
        <f>HYPERLINK("http://www.ncbi.nlm.nih.gov/pubmed/?term=Map2k1","Map2k1")</f>
        <v>Map2k1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2151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1513</v>
      </c>
      <c r="B5" t="s">
        <v>1569</v>
      </c>
      <c r="C5" s="26">
        <v>-1.784</v>
      </c>
      <c r="D5" s="3">
        <v>5.5549999999999997</v>
      </c>
      <c r="E5" s="19">
        <v>5.4139999999999997</v>
      </c>
      <c r="F5" s="1" t="str">
        <f>HYPERLINK("http://www.ncbi.nlm.nih.gov/pubmed/?term=Atp1a2","Atp1a2")</f>
        <v>Atp1a2</v>
      </c>
    </row>
    <row r="6" spans="1:6" x14ac:dyDescent="0.25">
      <c r="A6" t="s">
        <v>99</v>
      </c>
      <c r="B6" t="s">
        <v>1087</v>
      </c>
      <c r="C6" s="37">
        <v>2.407</v>
      </c>
      <c r="D6" s="9">
        <v>7.04</v>
      </c>
      <c r="E6" s="3">
        <v>6.2859999999999996</v>
      </c>
      <c r="F6" s="1" t="str">
        <f>HYPERLINK("http://www.ncbi.nlm.nih.gov/pubmed/?term=Atp1b1","Atp1b1")</f>
        <v>Atp1b1</v>
      </c>
    </row>
    <row r="7" spans="1:6" x14ac:dyDescent="0.25">
      <c r="A7" t="s">
        <v>1222</v>
      </c>
      <c r="B7" t="s">
        <v>2048</v>
      </c>
      <c r="C7" s="26">
        <v>-1.7609999999999999</v>
      </c>
      <c r="D7" s="15">
        <v>4.0709999999999997</v>
      </c>
      <c r="E7" s="41">
        <v>3.0089999999999999</v>
      </c>
      <c r="F7" s="1" t="str">
        <f>HYPERLINK("http://www.ncbi.nlm.nih.gov/pubmed/?term=Slc34a2","Slc34a2")</f>
        <v>Slc34a2</v>
      </c>
    </row>
    <row r="8" spans="1:6" x14ac:dyDescent="0.25">
      <c r="A8" t="s">
        <v>205</v>
      </c>
      <c r="B8" t="s">
        <v>1347</v>
      </c>
      <c r="C8" s="15">
        <v>3.8980000000000001</v>
      </c>
      <c r="D8" s="15">
        <v>4.1719999999999997</v>
      </c>
      <c r="E8" s="19">
        <v>5.1449999999999996</v>
      </c>
      <c r="F8" s="1" t="str">
        <f>HYPERLINK("http://www.ncbi.nlm.nih.gov/pubmed/?term=Hmox1","Hmox1")</f>
        <v>Hmox1</v>
      </c>
    </row>
    <row r="9" spans="1:6" x14ac:dyDescent="0.25">
      <c r="A9" t="s">
        <v>1124</v>
      </c>
      <c r="B9" t="s">
        <v>1791</v>
      </c>
      <c r="C9" s="3">
        <v>5.9039999999999999</v>
      </c>
      <c r="D9" s="9">
        <v>6.7610000000000001</v>
      </c>
      <c r="E9" s="9">
        <v>6.8739999999999997</v>
      </c>
      <c r="F9" s="1" t="str">
        <f>HYPERLINK("http://www.ncbi.nlm.nih.gov/pubmed/?term=Atox1","Atox1")</f>
        <v>Atox1</v>
      </c>
    </row>
    <row r="10" spans="1:6" x14ac:dyDescent="0.25">
      <c r="A10" t="s">
        <v>128</v>
      </c>
      <c r="B10" t="s">
        <v>1608</v>
      </c>
      <c r="C10" s="37">
        <v>2.246</v>
      </c>
      <c r="D10" s="15">
        <v>3.8290000000000002</v>
      </c>
      <c r="E10" s="19">
        <v>5.46</v>
      </c>
      <c r="F10" s="1" t="str">
        <f>HYPERLINK("http://www.ncbi.nlm.nih.gov/pubmed/?term=Vdr","Vdr")</f>
        <v>Vdr</v>
      </c>
    </row>
    <row r="11" spans="1:6" x14ac:dyDescent="0.25">
      <c r="A11" t="s">
        <v>561</v>
      </c>
      <c r="B11" t="s">
        <v>1448</v>
      </c>
      <c r="C11" s="19">
        <v>5.1550000000000002</v>
      </c>
      <c r="D11" s="3">
        <v>6.2960000000000003</v>
      </c>
      <c r="E11" s="39">
        <v>7.9770000000000003</v>
      </c>
      <c r="F11" s="1" t="str">
        <f>HYPERLINK("http://www.ncbi.nlm.nih.gov/pubmed/?term=Mt2","Mt2")</f>
        <v>Mt2</v>
      </c>
    </row>
    <row r="12" spans="1:6" x14ac:dyDescent="0.25">
      <c r="A12" t="s">
        <v>562</v>
      </c>
      <c r="B12" t="s">
        <v>1451</v>
      </c>
      <c r="C12" s="19">
        <v>5.3369999999999997</v>
      </c>
      <c r="D12" s="3">
        <v>5.8819999999999997</v>
      </c>
      <c r="E12" s="39">
        <v>8.1910000000000007</v>
      </c>
      <c r="F12" s="1" t="str">
        <f>HYPERLINK("http://www.ncbi.nlm.nih.gov/pubmed/?term=Mt1","Mt1")</f>
        <v>Mt1</v>
      </c>
    </row>
    <row r="13" spans="1:6" x14ac:dyDescent="0.25">
      <c r="A13" t="s">
        <v>974</v>
      </c>
      <c r="B13" t="s">
        <v>419</v>
      </c>
      <c r="C13" s="26">
        <v>-1.907</v>
      </c>
      <c r="D13" s="8">
        <v>1.2869999999999999</v>
      </c>
      <c r="E13" s="3">
        <v>6.4770000000000003</v>
      </c>
      <c r="F13" s="1" t="str">
        <f>HYPERLINK("http://www.ncbi.nlm.nih.gov/pubmed/?term=Trf","Trf")</f>
        <v>Trf</v>
      </c>
    </row>
    <row r="14" spans="1:6" x14ac:dyDescent="0.25">
      <c r="A14" t="s">
        <v>1825</v>
      </c>
      <c r="B14" t="s">
        <v>2044</v>
      </c>
      <c r="C14" s="26">
        <v>-0.32750000000000001</v>
      </c>
      <c r="D14" s="41">
        <v>3.1949999999999998</v>
      </c>
      <c r="E14" s="39">
        <v>7.9790000000000001</v>
      </c>
      <c r="F14" s="1" t="str">
        <f>HYPERLINK("http://www.ncbi.nlm.nih.gov/pubmed/?term=S100g","S100g")</f>
        <v>S100g</v>
      </c>
    </row>
    <row r="15" spans="1:6" x14ac:dyDescent="0.25">
      <c r="A15" t="s">
        <v>1495</v>
      </c>
      <c r="B15" t="s">
        <v>629</v>
      </c>
      <c r="C15" s="26">
        <v>-1.53</v>
      </c>
      <c r="D15" s="26">
        <v>-1.07</v>
      </c>
      <c r="E15" s="26">
        <v>0.2296</v>
      </c>
      <c r="F15" s="1" t="str">
        <f>HYPERLINK("http://www.ncbi.nlm.nih.gov/pubmed/?term=Gm10116","Gm10116")</f>
        <v>Gm10116</v>
      </c>
    </row>
    <row r="16" spans="1:6" x14ac:dyDescent="0.25">
      <c r="A16" t="s">
        <v>1940</v>
      </c>
      <c r="B16" t="s">
        <v>977</v>
      </c>
      <c r="C16" s="41">
        <v>3.2050000000000001</v>
      </c>
      <c r="D16" s="15">
        <v>3.6309999999999998</v>
      </c>
      <c r="E16" s="37">
        <v>1.6559999999999999</v>
      </c>
      <c r="F16" s="1" t="str">
        <f>HYPERLINK("http://www.ncbi.nlm.nih.gov/pubmed/?term=Clcn2","Clcn2")</f>
        <v>Clcn2</v>
      </c>
    </row>
    <row r="17" spans="1:6" x14ac:dyDescent="0.25">
      <c r="A17" t="s">
        <v>1172</v>
      </c>
      <c r="B17" t="s">
        <v>137</v>
      </c>
      <c r="C17" s="41">
        <v>3.4849999999999999</v>
      </c>
      <c r="D17" s="37">
        <v>2.3929999999999998</v>
      </c>
      <c r="E17" s="8">
        <v>0.87929999999999997</v>
      </c>
      <c r="F17" s="1" t="str">
        <f>HYPERLINK("http://www.ncbi.nlm.nih.gov/pubmed/?term=Slc46a1","Slc46a1")</f>
        <v>Slc46a1</v>
      </c>
    </row>
    <row r="18" spans="1:6" x14ac:dyDescent="0.25">
      <c r="A18" t="s">
        <v>1036</v>
      </c>
      <c r="B18" t="s">
        <v>1260</v>
      </c>
      <c r="C18" s="19">
        <v>5.14</v>
      </c>
      <c r="D18" s="41">
        <v>3.3260000000000001</v>
      </c>
      <c r="E18" s="37">
        <v>2.34</v>
      </c>
      <c r="F18" s="1" t="str">
        <f>HYPERLINK("http://www.ncbi.nlm.nih.gov/pubmed/?term=Slc11a2","Slc11a2")</f>
        <v>Slc11a2</v>
      </c>
    </row>
    <row r="19" spans="1:6" x14ac:dyDescent="0.25">
      <c r="A19" t="s">
        <v>631</v>
      </c>
      <c r="B19" t="s">
        <v>753</v>
      </c>
      <c r="C19" s="43">
        <v>10.11</v>
      </c>
      <c r="D19" s="43">
        <v>9.1690000000000005</v>
      </c>
      <c r="E19" s="43">
        <v>8.6859999999999999</v>
      </c>
      <c r="F19" s="1" t="str">
        <f>HYPERLINK("http://www.ncbi.nlm.nih.gov/pubmed/?term=Fth1","Fth1")</f>
        <v>Fth1</v>
      </c>
    </row>
    <row r="20" spans="1:6" x14ac:dyDescent="0.25">
      <c r="A20" t="s">
        <v>565</v>
      </c>
      <c r="B20" t="s">
        <v>392</v>
      </c>
      <c r="C20" s="41">
        <v>2.9369999999999998</v>
      </c>
      <c r="D20" s="26">
        <v>0.38950000000000001</v>
      </c>
      <c r="E20" s="15">
        <v>3.5070000000000001</v>
      </c>
      <c r="F20" s="1" t="str">
        <f>HYPERLINK("http://www.ncbi.nlm.nih.gov/pubmed/?term=Cybrd1","Cybrd1")</f>
        <v>Cybrd1</v>
      </c>
    </row>
    <row r="21" spans="1:6" x14ac:dyDescent="0.25">
      <c r="A21" t="s">
        <v>549</v>
      </c>
      <c r="B21" t="s">
        <v>34</v>
      </c>
      <c r="C21" s="9">
        <v>6.6079999999999997</v>
      </c>
      <c r="D21" s="3">
        <v>6.2140000000000004</v>
      </c>
      <c r="E21" s="39">
        <v>8.09</v>
      </c>
      <c r="F21" s="1" t="str">
        <f>HYPERLINK("http://www.ncbi.nlm.nih.gov/pubmed/?term=Ftl1","Ftl1")</f>
        <v>Ftl1</v>
      </c>
    </row>
    <row r="22" spans="1:6" x14ac:dyDescent="0.25">
      <c r="A22" t="s">
        <v>1290</v>
      </c>
      <c r="B22" t="s">
        <v>1304</v>
      </c>
      <c r="C22" s="3">
        <v>6.2549999999999999</v>
      </c>
      <c r="D22" s="41">
        <v>3.4340000000000002</v>
      </c>
      <c r="E22" s="19">
        <v>5.0910000000000002</v>
      </c>
      <c r="F22" s="1" t="str">
        <f>HYPERLINK("http://www.ncbi.nlm.nih.gov/pubmed/?term=Fxyd2","Fxyd2")</f>
        <v>Fxyd2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1973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2105</v>
      </c>
      <c r="B5" t="s">
        <v>1795</v>
      </c>
      <c r="C5" s="26">
        <v>-0.6603</v>
      </c>
      <c r="D5" s="24">
        <v>4.41</v>
      </c>
      <c r="E5" s="12">
        <v>0.9375</v>
      </c>
      <c r="F5" s="1" t="str">
        <f>HYPERLINK("http://www.ncbi.nlm.nih.gov/pubmed/?term=Aldh3a1","Aldh3a1")</f>
        <v>Aldh3a1</v>
      </c>
    </row>
    <row r="6" spans="1:6" x14ac:dyDescent="0.25">
      <c r="A6" t="s">
        <v>1970</v>
      </c>
      <c r="B6" t="s">
        <v>1799</v>
      </c>
      <c r="C6" s="24">
        <v>4.4329999999999998</v>
      </c>
      <c r="D6" s="25">
        <v>2.7869999999999999</v>
      </c>
      <c r="E6" s="12">
        <v>1.194</v>
      </c>
      <c r="F6" s="1" t="str">
        <f>HYPERLINK("http://www.ncbi.nlm.nih.gov/pubmed/?term=Aldh6a1","Aldh6a1")</f>
        <v>Aldh6a1</v>
      </c>
    </row>
    <row r="7" spans="1:6" x14ac:dyDescent="0.25">
      <c r="A7" t="s">
        <v>476</v>
      </c>
      <c r="B7" t="s">
        <v>2194</v>
      </c>
      <c r="C7" s="43">
        <v>5.8730000000000002</v>
      </c>
      <c r="D7" s="24">
        <v>4.1980000000000004</v>
      </c>
      <c r="E7" s="25">
        <v>3.476</v>
      </c>
      <c r="F7" s="1" t="str">
        <f>HYPERLINK("http://www.ncbi.nlm.nih.gov/pubmed/?term=Aldh7a1","Aldh7a1")</f>
        <v>Aldh7a1</v>
      </c>
    </row>
    <row r="8" spans="1:6" x14ac:dyDescent="0.25">
      <c r="A8" t="s">
        <v>1683</v>
      </c>
      <c r="B8" t="s">
        <v>1969</v>
      </c>
      <c r="C8" s="43">
        <v>5.1020000000000003</v>
      </c>
      <c r="D8" s="24">
        <v>3.6949999999999998</v>
      </c>
      <c r="E8" s="24">
        <v>4.09</v>
      </c>
      <c r="F8" s="1" t="str">
        <f>HYPERLINK("http://www.ncbi.nlm.nih.gov/pubmed/?term=Srm","Srm")</f>
        <v>Srm</v>
      </c>
    </row>
    <row r="9" spans="1:6" x14ac:dyDescent="0.25">
      <c r="A9" t="s">
        <v>1091</v>
      </c>
      <c r="B9" t="s">
        <v>226</v>
      </c>
      <c r="C9" s="43">
        <v>6.09</v>
      </c>
      <c r="D9" s="43">
        <v>4.8970000000000002</v>
      </c>
      <c r="E9" s="43">
        <v>5.56</v>
      </c>
      <c r="F9" s="1" t="str">
        <f>HYPERLINK("http://www.ncbi.nlm.nih.gov/pubmed/?term=Hadha","Hadha")</f>
        <v>Hadha</v>
      </c>
    </row>
    <row r="10" spans="1:6" x14ac:dyDescent="0.25">
      <c r="A10" t="s">
        <v>1979</v>
      </c>
      <c r="B10" t="s">
        <v>1316</v>
      </c>
      <c r="C10" s="43">
        <v>5.0529999999999999</v>
      </c>
      <c r="D10" s="24">
        <v>3.5739999999999998</v>
      </c>
      <c r="E10" s="24">
        <v>3.59</v>
      </c>
      <c r="F10" s="1" t="str">
        <f>HYPERLINK("http://www.ncbi.nlm.nih.gov/pubmed/?term=Aldh9a1","Aldh9a1")</f>
        <v>Aldh9a1</v>
      </c>
    </row>
    <row r="11" spans="1:6" x14ac:dyDescent="0.25">
      <c r="A11" t="s">
        <v>1201</v>
      </c>
      <c r="B11" t="s">
        <v>858</v>
      </c>
      <c r="C11" s="24">
        <v>3.8239999999999998</v>
      </c>
      <c r="D11" s="48">
        <v>2.1840000000000002</v>
      </c>
      <c r="E11" s="24">
        <v>3.63</v>
      </c>
      <c r="F11" s="1" t="str">
        <f>HYPERLINK("http://www.ncbi.nlm.nih.gov/pubmed/?term=Dpyd","Dpyd")</f>
        <v>Dpyd</v>
      </c>
    </row>
    <row r="12" spans="1:6" x14ac:dyDescent="0.25">
      <c r="A12" t="s">
        <v>404</v>
      </c>
      <c r="B12" t="s">
        <v>639</v>
      </c>
      <c r="C12" s="43">
        <v>5.915</v>
      </c>
      <c r="D12" s="26">
        <v>-0.83660000000000001</v>
      </c>
      <c r="E12" s="26">
        <v>-0.36659999999999998</v>
      </c>
      <c r="F12" s="1" t="str">
        <f>HYPERLINK("http://www.ncbi.nlm.nih.gov/pubmed/?term=Abat","Abat")</f>
        <v>Abat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1977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1098</v>
      </c>
      <c r="B5" t="s">
        <v>929</v>
      </c>
      <c r="C5" s="26">
        <v>-4.3019999999999996</v>
      </c>
      <c r="D5" s="47">
        <v>3.4460000000000002</v>
      </c>
      <c r="E5" s="36">
        <v>2.1880000000000002</v>
      </c>
      <c r="F5" s="1" t="str">
        <f>HYPERLINK("http://www.ncbi.nlm.nih.gov/pubmed/?term=Il10","Il10")</f>
        <v>Il10</v>
      </c>
    </row>
    <row r="6" spans="1:6" x14ac:dyDescent="0.25">
      <c r="A6" t="s">
        <v>1447</v>
      </c>
      <c r="B6" t="s">
        <v>1566</v>
      </c>
      <c r="C6" s="26">
        <v>-1.0620000000000001</v>
      </c>
      <c r="D6" s="42">
        <v>3.5369999999999999</v>
      </c>
      <c r="E6" s="36">
        <v>1.7450000000000001</v>
      </c>
      <c r="F6" s="1" t="str">
        <f>HYPERLINK("http://www.ncbi.nlm.nih.gov/pubmed/?term=Socs2","Socs2")</f>
        <v>Socs2</v>
      </c>
    </row>
    <row r="7" spans="1:6" x14ac:dyDescent="0.25">
      <c r="A7" t="s">
        <v>2016</v>
      </c>
      <c r="B7" t="s">
        <v>1464</v>
      </c>
      <c r="C7" s="26">
        <v>-0.25159999999999999</v>
      </c>
      <c r="D7" s="27">
        <v>4.952</v>
      </c>
      <c r="E7" s="14">
        <v>0.69540000000000002</v>
      </c>
      <c r="F7" s="1" t="str">
        <f>HYPERLINK("http://www.ncbi.nlm.nih.gov/pubmed/?term=Pik3cg","Pik3cg")</f>
        <v>Pik3cg</v>
      </c>
    </row>
    <row r="8" spans="1:6" x14ac:dyDescent="0.25">
      <c r="A8" t="s">
        <v>1335</v>
      </c>
      <c r="B8" t="s">
        <v>1328</v>
      </c>
      <c r="C8" s="14">
        <v>0.53520000000000001</v>
      </c>
      <c r="D8" s="28">
        <v>5.8090000000000002</v>
      </c>
      <c r="E8" s="47">
        <v>2.5489999999999999</v>
      </c>
      <c r="F8" s="1" t="str">
        <f>HYPERLINK("http://www.ncbi.nlm.nih.gov/pubmed/?term=Pik3r5","Pik3r5")</f>
        <v>Pik3r5</v>
      </c>
    </row>
    <row r="9" spans="1:6" x14ac:dyDescent="0.25">
      <c r="A9" t="s">
        <v>1610</v>
      </c>
      <c r="B9" t="s">
        <v>1749</v>
      </c>
      <c r="C9" s="14">
        <v>0.70579999999999998</v>
      </c>
      <c r="D9" s="42">
        <v>4.1539999999999999</v>
      </c>
      <c r="E9" s="42">
        <v>3.9849999999999999</v>
      </c>
      <c r="F9" s="1" t="str">
        <f>HYPERLINK("http://www.ncbi.nlm.nih.gov/pubmed/?term=Il13ra2","Il13ra2")</f>
        <v>Il13ra2</v>
      </c>
    </row>
    <row r="10" spans="1:6" x14ac:dyDescent="0.25">
      <c r="A10" t="s">
        <v>853</v>
      </c>
      <c r="B10" t="s">
        <v>1990</v>
      </c>
      <c r="C10" s="26">
        <v>2.0140000000000002E-2</v>
      </c>
      <c r="D10" s="27">
        <v>5.3710000000000004</v>
      </c>
      <c r="E10" s="42">
        <v>4.4320000000000004</v>
      </c>
      <c r="F10" s="1" t="str">
        <f>HYPERLINK("http://www.ncbi.nlm.nih.gov/pubmed/?term=Ccnd1","Ccnd1")</f>
        <v>Ccnd1</v>
      </c>
    </row>
    <row r="11" spans="1:6" x14ac:dyDescent="0.25">
      <c r="A11" t="s">
        <v>1657</v>
      </c>
      <c r="B11" t="s">
        <v>1991</v>
      </c>
      <c r="C11" s="27">
        <v>5.4219999999999997</v>
      </c>
      <c r="D11" s="27">
        <v>5.4290000000000003</v>
      </c>
      <c r="E11" s="43">
        <v>6.6429999999999998</v>
      </c>
      <c r="F11" s="1" t="str">
        <f>HYPERLINK("http://www.ncbi.nlm.nih.gov/pubmed/?term=Ccnd2","Ccnd2")</f>
        <v>Ccnd2</v>
      </c>
    </row>
    <row r="12" spans="1:6" x14ac:dyDescent="0.25">
      <c r="A12" t="s">
        <v>2114</v>
      </c>
      <c r="B12" t="s">
        <v>872</v>
      </c>
      <c r="C12" s="14">
        <v>0.52259999999999995</v>
      </c>
      <c r="D12" s="14">
        <v>0.83809999999999996</v>
      </c>
      <c r="E12" s="47">
        <v>3.423</v>
      </c>
      <c r="F12" s="1" t="str">
        <f>HYPERLINK("http://www.ncbi.nlm.nih.gov/pubmed/?term=Il12rb1","Il12rb1")</f>
        <v>Il12rb1</v>
      </c>
    </row>
    <row r="13" spans="1:6" x14ac:dyDescent="0.25">
      <c r="A13" t="s">
        <v>1524</v>
      </c>
      <c r="B13" t="s">
        <v>1499</v>
      </c>
      <c r="C13" s="26">
        <v>-3.9929999999999999</v>
      </c>
      <c r="D13" s="26">
        <v>-2.68</v>
      </c>
      <c r="E13" s="47">
        <v>3.4220000000000002</v>
      </c>
      <c r="F13" s="1" t="str">
        <f>HYPERLINK("http://www.ncbi.nlm.nih.gov/pubmed/?term=Il4","Il4")</f>
        <v>Il4</v>
      </c>
    </row>
    <row r="14" spans="1:6" x14ac:dyDescent="0.25">
      <c r="A14" t="s">
        <v>1272</v>
      </c>
      <c r="B14" t="s">
        <v>1710</v>
      </c>
      <c r="C14" s="42">
        <v>3.823</v>
      </c>
      <c r="D14" s="27">
        <v>4.7160000000000002</v>
      </c>
      <c r="E14" s="27">
        <v>4.9569999999999999</v>
      </c>
      <c r="F14" s="1" t="str">
        <f>HYPERLINK("http://www.ncbi.nlm.nih.gov/pubmed/?term=Stat6","Stat6")</f>
        <v>Stat6</v>
      </c>
    </row>
    <row r="15" spans="1:6" x14ac:dyDescent="0.25">
      <c r="A15" t="s">
        <v>390</v>
      </c>
      <c r="B15" t="s">
        <v>1712</v>
      </c>
      <c r="C15" s="28">
        <v>5.78</v>
      </c>
      <c r="D15" s="43">
        <v>6.601</v>
      </c>
      <c r="E15" s="43">
        <v>7.68</v>
      </c>
      <c r="F15" s="1" t="str">
        <f>HYPERLINK("http://www.ncbi.nlm.nih.gov/pubmed/?term=Stat3","Stat3")</f>
        <v>Stat3</v>
      </c>
    </row>
    <row r="16" spans="1:6" x14ac:dyDescent="0.25">
      <c r="A16" t="s">
        <v>389</v>
      </c>
      <c r="B16" t="s">
        <v>712</v>
      </c>
      <c r="C16" s="36">
        <v>2.3450000000000002</v>
      </c>
      <c r="D16" s="28">
        <v>5.5529999999999999</v>
      </c>
      <c r="E16" s="43">
        <v>6.5759999999999996</v>
      </c>
      <c r="F16" s="1" t="str">
        <f>HYPERLINK("http://www.ncbi.nlm.nih.gov/pubmed/?term=Stat5a","Stat5a")</f>
        <v>Stat5a</v>
      </c>
    </row>
    <row r="17" spans="1:6" x14ac:dyDescent="0.25">
      <c r="A17" t="s">
        <v>1237</v>
      </c>
      <c r="B17" t="s">
        <v>1139</v>
      </c>
      <c r="C17" s="42">
        <v>4.141</v>
      </c>
      <c r="D17" s="42">
        <v>4.1669999999999998</v>
      </c>
      <c r="E17" s="43">
        <v>6.782</v>
      </c>
      <c r="F17" s="1" t="str">
        <f>HYPERLINK("http://www.ncbi.nlm.nih.gov/pubmed/?term=Bcl2l1","Bcl2l1")</f>
        <v>Bcl2l1</v>
      </c>
    </row>
    <row r="18" spans="1:6" x14ac:dyDescent="0.25">
      <c r="A18" t="s">
        <v>965</v>
      </c>
      <c r="B18" t="s">
        <v>2187</v>
      </c>
      <c r="C18" s="26">
        <v>-2.1800000000000002</v>
      </c>
      <c r="D18" s="14">
        <v>0.97130000000000005</v>
      </c>
      <c r="E18" s="27">
        <v>4.6479999999999997</v>
      </c>
      <c r="F18" s="1" t="str">
        <f>HYPERLINK("http://www.ncbi.nlm.nih.gov/pubmed/?term=Il9r","Il9r")</f>
        <v>Il9r</v>
      </c>
    </row>
    <row r="19" spans="1:6" x14ac:dyDescent="0.25">
      <c r="A19" t="s">
        <v>690</v>
      </c>
      <c r="B19" t="s">
        <v>930</v>
      </c>
      <c r="C19" s="26">
        <v>-1.9550000000000001</v>
      </c>
      <c r="D19" s="26">
        <v>0.14480000000000001</v>
      </c>
      <c r="E19" s="43">
        <v>7.7869999999999999</v>
      </c>
      <c r="F19" s="1" t="str">
        <f>HYPERLINK("http://www.ncbi.nlm.nih.gov/pubmed/?term=Il13","Il13")</f>
        <v>Il13</v>
      </c>
    </row>
    <row r="20" spans="1:6" x14ac:dyDescent="0.25">
      <c r="A20" t="s">
        <v>1523</v>
      </c>
      <c r="B20" t="s">
        <v>30</v>
      </c>
      <c r="C20" s="26">
        <v>-1.6020000000000001</v>
      </c>
      <c r="D20" s="26">
        <v>-0.48089999999999999</v>
      </c>
      <c r="E20" s="42">
        <v>4.0839999999999996</v>
      </c>
      <c r="F20" s="1" t="str">
        <f>HYPERLINK("http://www.ncbi.nlm.nih.gov/pubmed/?term=Gh","Gh")</f>
        <v>Gh</v>
      </c>
    </row>
    <row r="21" spans="1:6" x14ac:dyDescent="0.25">
      <c r="A21" t="s">
        <v>1487</v>
      </c>
      <c r="B21" t="s">
        <v>1618</v>
      </c>
      <c r="C21" s="42">
        <v>4.0289999999999999</v>
      </c>
      <c r="D21" s="27">
        <v>4.91</v>
      </c>
      <c r="E21" s="27">
        <v>5.2249999999999996</v>
      </c>
      <c r="F21" s="1" t="str">
        <f>HYPERLINK("http://www.ncbi.nlm.nih.gov/pubmed/?term=Ifngr2","Ifngr2")</f>
        <v>Ifngr2</v>
      </c>
    </row>
    <row r="22" spans="1:6" x14ac:dyDescent="0.25">
      <c r="A22" t="s">
        <v>779</v>
      </c>
      <c r="B22" t="s">
        <v>1650</v>
      </c>
      <c r="C22" s="26">
        <v>-1.085</v>
      </c>
      <c r="D22" s="42">
        <v>3.79</v>
      </c>
      <c r="E22" s="43">
        <v>6.8739999999999997</v>
      </c>
      <c r="F22" s="1" t="str">
        <f>HYPERLINK("http://www.ncbi.nlm.nih.gov/pubmed/?term=Il23a","Il23a")</f>
        <v>Il23a</v>
      </c>
    </row>
    <row r="23" spans="1:6" x14ac:dyDescent="0.25">
      <c r="A23" t="s">
        <v>375</v>
      </c>
      <c r="B23" t="s">
        <v>741</v>
      </c>
      <c r="C23" s="36">
        <v>1.6140000000000001</v>
      </c>
      <c r="D23" s="42">
        <v>3.7189999999999999</v>
      </c>
      <c r="E23" s="42">
        <v>4.2270000000000003</v>
      </c>
      <c r="F23" s="1" t="str">
        <f>HYPERLINK("http://www.ncbi.nlm.nih.gov/pubmed/?term=Il2ra","Il2ra")</f>
        <v>Il2ra</v>
      </c>
    </row>
    <row r="24" spans="1:6" x14ac:dyDescent="0.25">
      <c r="A24" t="s">
        <v>391</v>
      </c>
      <c r="B24" t="s">
        <v>558</v>
      </c>
      <c r="C24" s="26">
        <v>-2.9940000000000002</v>
      </c>
      <c r="D24" s="26">
        <v>-4.1790000000000001E-2</v>
      </c>
      <c r="E24" s="28">
        <v>6.1180000000000003</v>
      </c>
      <c r="F24" s="1" t="str">
        <f>HYPERLINK("http://www.ncbi.nlm.nih.gov/pubmed/?term=Il12a","Il12a")</f>
        <v>Il12a</v>
      </c>
    </row>
    <row r="25" spans="1:6" x14ac:dyDescent="0.25">
      <c r="A25" t="s">
        <v>520</v>
      </c>
      <c r="B25" t="s">
        <v>1500</v>
      </c>
      <c r="C25" s="28">
        <v>5.9189999999999996</v>
      </c>
      <c r="D25" s="28">
        <v>6.0350000000000001</v>
      </c>
      <c r="E25" s="43">
        <v>7.2370000000000001</v>
      </c>
      <c r="F25" s="1" t="str">
        <f>HYPERLINK("http://www.ncbi.nlm.nih.gov/pubmed/?term=Il4ra","Il4ra")</f>
        <v>Il4ra</v>
      </c>
    </row>
    <row r="26" spans="1:6" x14ac:dyDescent="0.25">
      <c r="A26" t="s">
        <v>2145</v>
      </c>
      <c r="B26" t="s">
        <v>743</v>
      </c>
      <c r="C26" s="47">
        <v>2.806</v>
      </c>
      <c r="D26" s="47">
        <v>3.2530000000000001</v>
      </c>
      <c r="E26" s="43">
        <v>7.3730000000000002</v>
      </c>
      <c r="F26" s="1" t="str">
        <f>HYPERLINK("http://www.ncbi.nlm.nih.gov/pubmed/?term=Il2rg","Il2rg")</f>
        <v>Il2rg</v>
      </c>
    </row>
    <row r="27" spans="1:6" x14ac:dyDescent="0.25">
      <c r="A27" t="s">
        <v>1279</v>
      </c>
      <c r="B27" t="s">
        <v>919</v>
      </c>
      <c r="C27" s="26">
        <v>-2.2109999999999999</v>
      </c>
      <c r="D27" s="26">
        <v>-0.16819999999999999</v>
      </c>
      <c r="E27" s="42">
        <v>3.6920000000000002</v>
      </c>
      <c r="F27" s="1" t="str">
        <f>HYPERLINK("http://www.ncbi.nlm.nih.gov/pubmed/?term=Il10ra","Il10ra")</f>
        <v>Il10ra</v>
      </c>
    </row>
    <row r="28" spans="1:6" x14ac:dyDescent="0.25">
      <c r="A28" t="s">
        <v>1607</v>
      </c>
      <c r="B28" t="s">
        <v>386</v>
      </c>
      <c r="C28" s="47">
        <v>2.9220000000000002</v>
      </c>
      <c r="D28" s="47">
        <v>2.9729999999999999</v>
      </c>
      <c r="E28" s="42">
        <v>4.1470000000000002</v>
      </c>
      <c r="F28" s="1" t="str">
        <f>HYPERLINK("http://www.ncbi.nlm.nih.gov/pubmed/?term=Tyk2","Tyk2")</f>
        <v>Tyk2</v>
      </c>
    </row>
    <row r="29" spans="1:6" x14ac:dyDescent="0.25">
      <c r="A29" t="s">
        <v>333</v>
      </c>
      <c r="B29" t="s">
        <v>1460</v>
      </c>
      <c r="C29" s="26">
        <v>0.44829999999999998</v>
      </c>
      <c r="D29" s="36">
        <v>2.1360000000000001</v>
      </c>
      <c r="E29" s="42">
        <v>3.8809999999999998</v>
      </c>
      <c r="F29" s="1" t="str">
        <f>HYPERLINK("http://www.ncbi.nlm.nih.gov/pubmed/?term=Pik3cb","Pik3cb")</f>
        <v>Pik3cb</v>
      </c>
    </row>
    <row r="30" spans="1:6" x14ac:dyDescent="0.25">
      <c r="A30" t="s">
        <v>1374</v>
      </c>
      <c r="B30" t="s">
        <v>1563</v>
      </c>
      <c r="C30" s="42">
        <v>4.0599999999999996</v>
      </c>
      <c r="D30" s="27">
        <v>4.5129999999999999</v>
      </c>
      <c r="E30" s="27">
        <v>5.383</v>
      </c>
      <c r="F30" s="1" t="str">
        <f>HYPERLINK("http://www.ncbi.nlm.nih.gov/pubmed/?term=Socs1","Socs1")</f>
        <v>Socs1</v>
      </c>
    </row>
    <row r="31" spans="1:6" x14ac:dyDescent="0.25">
      <c r="A31" t="s">
        <v>2176</v>
      </c>
      <c r="B31" t="s">
        <v>285</v>
      </c>
      <c r="C31" s="42">
        <v>3.8809999999999998</v>
      </c>
      <c r="D31" s="42">
        <v>4.2389999999999999</v>
      </c>
      <c r="E31" s="27">
        <v>5.0670000000000002</v>
      </c>
      <c r="F31" s="1" t="str">
        <f>HYPERLINK("http://www.ncbi.nlm.nih.gov/pubmed/?term=Il20rb","Il20rb")</f>
        <v>Il20rb</v>
      </c>
    </row>
    <row r="32" spans="1:6" x14ac:dyDescent="0.25">
      <c r="A32" t="s">
        <v>118</v>
      </c>
      <c r="B32" t="s">
        <v>1023</v>
      </c>
      <c r="C32" s="26">
        <v>-4.181</v>
      </c>
      <c r="D32" s="47">
        <v>2.8940000000000001</v>
      </c>
      <c r="E32" s="42">
        <v>3.5459999999999998</v>
      </c>
      <c r="F32" s="1" t="str">
        <f>HYPERLINK("http://www.ncbi.nlm.nih.gov/pubmed/?term=Il23r","Il23r")</f>
        <v>Il23r</v>
      </c>
    </row>
    <row r="33" spans="1:6" x14ac:dyDescent="0.25">
      <c r="A33" t="s">
        <v>76</v>
      </c>
      <c r="B33" t="s">
        <v>1929</v>
      </c>
      <c r="C33" s="26">
        <v>-1.415</v>
      </c>
      <c r="D33" s="42">
        <v>3.9209999999999998</v>
      </c>
      <c r="E33" s="27">
        <v>4.726</v>
      </c>
      <c r="F33" s="1" t="str">
        <f>HYPERLINK("http://www.ncbi.nlm.nih.gov/pubmed/?term=Csf2rb","Csf2rb")</f>
        <v>Csf2rb</v>
      </c>
    </row>
    <row r="34" spans="1:6" x14ac:dyDescent="0.25">
      <c r="A34" t="s">
        <v>79</v>
      </c>
      <c r="B34" t="s">
        <v>1269</v>
      </c>
      <c r="C34" s="26">
        <v>-1.875</v>
      </c>
      <c r="D34" s="47">
        <v>3.024</v>
      </c>
      <c r="E34" s="42">
        <v>3.8969999999999998</v>
      </c>
      <c r="F34" s="1" t="str">
        <f>HYPERLINK("http://www.ncbi.nlm.nih.gov/pubmed/?term=Csf2rb2","Csf2rb2")</f>
        <v>Csf2rb2</v>
      </c>
    </row>
    <row r="35" spans="1:6" x14ac:dyDescent="0.25">
      <c r="A35" t="s">
        <v>16</v>
      </c>
      <c r="B35" t="s">
        <v>140</v>
      </c>
      <c r="C35" s="47">
        <v>3.028</v>
      </c>
      <c r="D35" s="27">
        <v>5.032</v>
      </c>
      <c r="E35" s="27">
        <v>5.194</v>
      </c>
      <c r="F35" s="1" t="str">
        <f>HYPERLINK("http://www.ncbi.nlm.nih.gov/pubmed/?term=Il11ra1","Il11ra1")</f>
        <v>Il11ra1</v>
      </c>
    </row>
    <row r="36" spans="1:6" x14ac:dyDescent="0.25">
      <c r="A36" t="s">
        <v>1897</v>
      </c>
      <c r="B36" t="s">
        <v>125</v>
      </c>
      <c r="C36" s="28">
        <v>5.548</v>
      </c>
      <c r="D36" s="28">
        <v>5.7690000000000001</v>
      </c>
      <c r="E36" s="42">
        <v>3.58</v>
      </c>
      <c r="F36" s="1" t="str">
        <f>HYPERLINK("http://www.ncbi.nlm.nih.gov/pubmed/?term=Irf9","Irf9")</f>
        <v>Irf9</v>
      </c>
    </row>
    <row r="37" spans="1:6" x14ac:dyDescent="0.25">
      <c r="A37" t="s">
        <v>1747</v>
      </c>
      <c r="B37" t="s">
        <v>1617</v>
      </c>
      <c r="C37" s="42">
        <v>4.47</v>
      </c>
      <c r="D37" s="28">
        <v>5.5170000000000003</v>
      </c>
      <c r="E37" s="42">
        <v>3.8849999999999998</v>
      </c>
      <c r="F37" s="1" t="str">
        <f>HYPERLINK("http://www.ncbi.nlm.nih.gov/pubmed/?term=Ifngr1","Ifngr1")</f>
        <v>Ifngr1</v>
      </c>
    </row>
    <row r="38" spans="1:6" x14ac:dyDescent="0.25">
      <c r="A38" t="s">
        <v>466</v>
      </c>
      <c r="B38" t="s">
        <v>1661</v>
      </c>
      <c r="C38" s="28">
        <v>5.5110000000000001</v>
      </c>
      <c r="D38" s="28">
        <v>5.8159999999999998</v>
      </c>
      <c r="E38" s="47">
        <v>2.956</v>
      </c>
      <c r="F38" s="1" t="str">
        <f>HYPERLINK("http://www.ncbi.nlm.nih.gov/pubmed/?term=Il6st","Il6st")</f>
        <v>Il6st</v>
      </c>
    </row>
    <row r="39" spans="1:6" x14ac:dyDescent="0.25">
      <c r="A39" t="s">
        <v>1987</v>
      </c>
      <c r="B39" t="s">
        <v>1152</v>
      </c>
      <c r="C39" s="42">
        <v>4.1859999999999999</v>
      </c>
      <c r="D39" s="27">
        <v>4.7750000000000004</v>
      </c>
      <c r="E39" s="36">
        <v>1.766</v>
      </c>
      <c r="F39" s="1" t="str">
        <f>HYPERLINK("http://www.ncbi.nlm.nih.gov/pubmed/?term=Osmr","Osmr")</f>
        <v>Osmr</v>
      </c>
    </row>
    <row r="40" spans="1:6" x14ac:dyDescent="0.25">
      <c r="A40" t="s">
        <v>1326</v>
      </c>
      <c r="B40" t="s">
        <v>1699</v>
      </c>
      <c r="C40" s="42">
        <v>4.1829999999999998</v>
      </c>
      <c r="D40" s="27">
        <v>4.7720000000000002</v>
      </c>
      <c r="E40" s="42">
        <v>3.6880000000000002</v>
      </c>
      <c r="F40" s="1" t="str">
        <f>HYPERLINK("http://www.ncbi.nlm.nih.gov/pubmed/?term=Ifnar2","Ifnar2")</f>
        <v>Ifnar2</v>
      </c>
    </row>
    <row r="41" spans="1:6" x14ac:dyDescent="0.25">
      <c r="A41" t="s">
        <v>1334</v>
      </c>
      <c r="B41" t="s">
        <v>5</v>
      </c>
      <c r="C41" s="47">
        <v>3.4769999999999999</v>
      </c>
      <c r="D41" s="42">
        <v>3.6840000000000002</v>
      </c>
      <c r="E41" s="47">
        <v>2.5219999999999998</v>
      </c>
      <c r="F41" s="1" t="str">
        <f>HYPERLINK("http://www.ncbi.nlm.nih.gov/pubmed/?term=Sos1","Sos1")</f>
        <v>Sos1</v>
      </c>
    </row>
    <row r="42" spans="1:6" x14ac:dyDescent="0.25">
      <c r="A42" t="s">
        <v>1986</v>
      </c>
      <c r="B42" t="s">
        <v>1713</v>
      </c>
      <c r="C42" s="42">
        <v>4.3099999999999996</v>
      </c>
      <c r="D42" s="28">
        <v>5.56</v>
      </c>
      <c r="E42" s="47">
        <v>3.3860000000000001</v>
      </c>
      <c r="F42" s="1" t="str">
        <f>HYPERLINK("http://www.ncbi.nlm.nih.gov/pubmed/?term=Stat2","Stat2")</f>
        <v>Stat2</v>
      </c>
    </row>
    <row r="43" spans="1:6" x14ac:dyDescent="0.25">
      <c r="A43" t="s">
        <v>2117</v>
      </c>
      <c r="B43" t="s">
        <v>445</v>
      </c>
      <c r="C43" s="28">
        <v>5.7670000000000003</v>
      </c>
      <c r="D43" s="28">
        <v>6.37</v>
      </c>
      <c r="E43" s="47">
        <v>2.7650000000000001</v>
      </c>
      <c r="F43" s="1" t="str">
        <f>HYPERLINK("http://www.ncbi.nlm.nih.gov/pubmed/?term=Lifr","Lifr")</f>
        <v>Lifr</v>
      </c>
    </row>
    <row r="44" spans="1:6" x14ac:dyDescent="0.25">
      <c r="A44" t="s">
        <v>905</v>
      </c>
      <c r="B44" t="s">
        <v>1814</v>
      </c>
      <c r="C44" s="42">
        <v>3.7959999999999998</v>
      </c>
      <c r="D44" s="47">
        <v>3.0990000000000002</v>
      </c>
      <c r="E44" s="47">
        <v>2.85</v>
      </c>
      <c r="F44" s="1" t="str">
        <f>HYPERLINK("http://www.ncbi.nlm.nih.gov/pubmed/?term=Pias2","Pias2")</f>
        <v>Pias2</v>
      </c>
    </row>
    <row r="45" spans="1:6" x14ac:dyDescent="0.25">
      <c r="A45" t="s">
        <v>233</v>
      </c>
      <c r="B45" t="s">
        <v>1714</v>
      </c>
      <c r="C45" s="43">
        <v>6.734</v>
      </c>
      <c r="D45" s="43">
        <v>6.7110000000000003</v>
      </c>
      <c r="E45" s="27">
        <v>5.4809999999999999</v>
      </c>
      <c r="F45" s="1" t="str">
        <f>HYPERLINK("http://www.ncbi.nlm.nih.gov/pubmed/?term=Stat1","Stat1")</f>
        <v>Stat1</v>
      </c>
    </row>
    <row r="46" spans="1:6" x14ac:dyDescent="0.25">
      <c r="A46" t="s">
        <v>682</v>
      </c>
      <c r="B46" t="s">
        <v>77</v>
      </c>
      <c r="C46" s="42">
        <v>4.1790000000000003</v>
      </c>
      <c r="D46" s="47">
        <v>3.0070000000000001</v>
      </c>
      <c r="E46" s="47">
        <v>2.6019999999999999</v>
      </c>
      <c r="F46" s="1" t="str">
        <f>HYPERLINK("http://www.ncbi.nlm.nih.gov/pubmed/?term=Stam","Stam")</f>
        <v>Stam</v>
      </c>
    </row>
    <row r="47" spans="1:6" x14ac:dyDescent="0.25">
      <c r="A47" t="s">
        <v>131</v>
      </c>
      <c r="B47" t="s">
        <v>1475</v>
      </c>
      <c r="C47" s="42">
        <v>3.6579999999999999</v>
      </c>
      <c r="D47" s="47">
        <v>2.573</v>
      </c>
      <c r="E47" s="36">
        <v>2.1240000000000001</v>
      </c>
      <c r="F47" s="1" t="str">
        <f>HYPERLINK("http://www.ncbi.nlm.nih.gov/pubmed/?term=Spred1","Spred1")</f>
        <v>Spred1</v>
      </c>
    </row>
    <row r="48" spans="1:6" x14ac:dyDescent="0.25">
      <c r="A48" t="s">
        <v>1205</v>
      </c>
      <c r="B48" t="s">
        <v>1329</v>
      </c>
      <c r="C48" s="28">
        <v>5.6820000000000004</v>
      </c>
      <c r="D48" s="27">
        <v>5.0220000000000002</v>
      </c>
      <c r="E48" s="27">
        <v>4.7060000000000004</v>
      </c>
      <c r="F48" s="1" t="str">
        <f>HYPERLINK("http://www.ncbi.nlm.nih.gov/pubmed/?term=Pik3r2","Pik3r2")</f>
        <v>Pik3r2</v>
      </c>
    </row>
    <row r="49" spans="1:6" x14ac:dyDescent="0.25">
      <c r="A49" t="s">
        <v>83</v>
      </c>
      <c r="B49" t="s">
        <v>231</v>
      </c>
      <c r="C49" s="42">
        <v>4.2510000000000003</v>
      </c>
      <c r="D49" s="36">
        <v>2.3330000000000002</v>
      </c>
      <c r="E49" s="26">
        <v>0.49930000000000002</v>
      </c>
      <c r="F49" s="1" t="str">
        <f>HYPERLINK("http://www.ncbi.nlm.nih.gov/pubmed/?term=Spry1","Spry1")</f>
        <v>Spry1</v>
      </c>
    </row>
    <row r="50" spans="1:6" x14ac:dyDescent="0.25">
      <c r="A50" t="s">
        <v>1312</v>
      </c>
      <c r="B50" t="s">
        <v>1498</v>
      </c>
      <c r="C50" s="43">
        <v>6.6109999999999998</v>
      </c>
      <c r="D50" s="28">
        <v>5.8959999999999999</v>
      </c>
      <c r="E50" s="42">
        <v>4.109</v>
      </c>
      <c r="F50" s="1" t="str">
        <f>HYPERLINK("http://www.ncbi.nlm.nih.gov/pubmed/?term=Il7","Il7")</f>
        <v>Il7</v>
      </c>
    </row>
    <row r="51" spans="1:6" x14ac:dyDescent="0.25">
      <c r="A51" t="s">
        <v>731</v>
      </c>
      <c r="B51" t="s">
        <v>1330</v>
      </c>
      <c r="C51" s="27">
        <v>4.9180000000000001</v>
      </c>
      <c r="D51" s="27">
        <v>4.8079999999999998</v>
      </c>
      <c r="E51" s="42">
        <v>3.7410000000000001</v>
      </c>
      <c r="F51" s="1" t="str">
        <f>HYPERLINK("http://www.ncbi.nlm.nih.gov/pubmed/?term=Pik3r1","Pik3r1")</f>
        <v>Pik3r1</v>
      </c>
    </row>
    <row r="52" spans="1:6" x14ac:dyDescent="0.25">
      <c r="A52" t="s">
        <v>1086</v>
      </c>
      <c r="B52" t="s">
        <v>1346</v>
      </c>
      <c r="C52" s="42">
        <v>4.4160000000000004</v>
      </c>
      <c r="D52" s="47">
        <v>2.8319999999999999</v>
      </c>
      <c r="E52" s="36">
        <v>1.5429999999999999</v>
      </c>
      <c r="F52" s="1" t="str">
        <f>HYPERLINK("http://www.ncbi.nlm.nih.gov/pubmed/?term=Ctf1","Ctf1")</f>
        <v>Ctf1</v>
      </c>
    </row>
    <row r="53" spans="1:6" x14ac:dyDescent="0.25">
      <c r="A53" t="s">
        <v>2078</v>
      </c>
      <c r="B53" t="s">
        <v>1565</v>
      </c>
      <c r="C53" s="43">
        <v>7.383</v>
      </c>
      <c r="D53" s="43">
        <v>6.9610000000000003</v>
      </c>
      <c r="E53" s="27">
        <v>5.0860000000000003</v>
      </c>
      <c r="F53" s="1" t="str">
        <f>HYPERLINK("http://www.ncbi.nlm.nih.gov/pubmed/?term=Socs3","Socs3")</f>
        <v>Socs3</v>
      </c>
    </row>
    <row r="54" spans="1:6" x14ac:dyDescent="0.25">
      <c r="A54" t="s">
        <v>1177</v>
      </c>
      <c r="B54" t="s">
        <v>711</v>
      </c>
      <c r="C54" s="47">
        <v>3.2429999999999999</v>
      </c>
      <c r="D54" s="47">
        <v>2.9780000000000002</v>
      </c>
      <c r="E54" s="27">
        <v>4.7270000000000003</v>
      </c>
      <c r="F54" s="1" t="str">
        <f>HYPERLINK("http://www.ncbi.nlm.nih.gov/pubmed/?term=Stat5b","Stat5b")</f>
        <v>Stat5b</v>
      </c>
    </row>
    <row r="55" spans="1:6" x14ac:dyDescent="0.25">
      <c r="A55" t="s">
        <v>237</v>
      </c>
      <c r="B55" t="s">
        <v>1135</v>
      </c>
      <c r="C55" s="27">
        <v>4.8419999999999996</v>
      </c>
      <c r="D55" s="42">
        <v>4.1280000000000001</v>
      </c>
      <c r="E55" s="27">
        <v>5.4930000000000003</v>
      </c>
      <c r="F55" s="1" t="str">
        <f>HYPERLINK("http://www.ncbi.nlm.nih.gov/pubmed/?term=Spry2","Spry2")</f>
        <v>Spry2</v>
      </c>
    </row>
    <row r="56" spans="1:6" x14ac:dyDescent="0.25">
      <c r="A56" t="s">
        <v>524</v>
      </c>
      <c r="B56" t="s">
        <v>1337</v>
      </c>
      <c r="C56" s="14">
        <v>0.82230000000000003</v>
      </c>
      <c r="D56" s="26">
        <v>-0.52549999999999997</v>
      </c>
      <c r="E56" s="27">
        <v>4.952</v>
      </c>
      <c r="F56" s="1" t="str">
        <f>HYPERLINK("http://www.ncbi.nlm.nih.gov/pubmed/?term=Il21r","Il21r")</f>
        <v>Il21r</v>
      </c>
    </row>
    <row r="57" spans="1:6" x14ac:dyDescent="0.25">
      <c r="A57" t="s">
        <v>724</v>
      </c>
      <c r="B57" t="s">
        <v>931</v>
      </c>
      <c r="C57" s="47">
        <v>2.7850000000000001</v>
      </c>
      <c r="D57" s="47">
        <v>2.702</v>
      </c>
      <c r="E57" s="27">
        <v>5.0590000000000002</v>
      </c>
      <c r="F57" s="1" t="str">
        <f>HYPERLINK("http://www.ncbi.nlm.nih.gov/pubmed/?term=Il15","Il15")</f>
        <v>Il15</v>
      </c>
    </row>
    <row r="58" spans="1:6" x14ac:dyDescent="0.25">
      <c r="A58" t="s">
        <v>1303</v>
      </c>
      <c r="B58" t="s">
        <v>1367</v>
      </c>
      <c r="C58" s="27">
        <v>5.4720000000000004</v>
      </c>
      <c r="D58" s="27">
        <v>5.13</v>
      </c>
      <c r="E58" s="28">
        <v>6.4329999999999998</v>
      </c>
      <c r="F58" s="1" t="str">
        <f>HYPERLINK("http://www.ncbi.nlm.nih.gov/pubmed/?term=Cish","Cish")</f>
        <v>Cish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2140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56</v>
      </c>
      <c r="B5" t="s">
        <v>1685</v>
      </c>
      <c r="C5" s="26">
        <v>0.40210000000000001</v>
      </c>
      <c r="D5" s="5">
        <v>4.7990000000000004</v>
      </c>
      <c r="E5" s="50">
        <v>2.5640000000000001</v>
      </c>
      <c r="F5" s="1" t="str">
        <f>HYPERLINK("http://www.ncbi.nlm.nih.gov/pubmed/?term=Cxadr","Cxadr")</f>
        <v>Cxadr</v>
      </c>
    </row>
    <row r="6" spans="1:6" x14ac:dyDescent="0.25">
      <c r="A6" t="s">
        <v>1053</v>
      </c>
      <c r="B6" t="s">
        <v>784</v>
      </c>
      <c r="C6" s="30">
        <v>1.0640000000000001</v>
      </c>
      <c r="D6" s="44">
        <v>3.9489999999999998</v>
      </c>
      <c r="E6" s="50">
        <v>2.758</v>
      </c>
      <c r="F6" s="1" t="str">
        <f>HYPERLINK("http://www.ncbi.nlm.nih.gov/pubmed/?term=Myh14","Myh14")</f>
        <v>Myh14</v>
      </c>
    </row>
    <row r="7" spans="1:6" x14ac:dyDescent="0.25">
      <c r="A7" t="s">
        <v>1208</v>
      </c>
      <c r="B7" t="s">
        <v>587</v>
      </c>
      <c r="C7" s="44">
        <v>3.6619999999999999</v>
      </c>
      <c r="D7" s="31">
        <v>5.7629999999999999</v>
      </c>
      <c r="E7" s="44">
        <v>4.4850000000000003</v>
      </c>
      <c r="F7" s="1" t="str">
        <f>HYPERLINK("http://www.ncbi.nlm.nih.gov/pubmed/?term=H2-T22","H2-T22")</f>
        <v>H2-T22</v>
      </c>
    </row>
    <row r="8" spans="1:6" x14ac:dyDescent="0.25">
      <c r="A8" t="s">
        <v>853</v>
      </c>
      <c r="B8" t="s">
        <v>1990</v>
      </c>
      <c r="C8" s="26">
        <v>2.0140000000000002E-2</v>
      </c>
      <c r="D8" s="5">
        <v>5.3710000000000004</v>
      </c>
      <c r="E8" s="44">
        <v>4.4320000000000004</v>
      </c>
      <c r="F8" s="1" t="str">
        <f>HYPERLINK("http://www.ncbi.nlm.nih.gov/pubmed/?term=Ccnd1","Ccnd1")</f>
        <v>Ccnd1</v>
      </c>
    </row>
    <row r="9" spans="1:6" x14ac:dyDescent="0.25">
      <c r="A9" t="s">
        <v>85</v>
      </c>
      <c r="B9" t="s">
        <v>1966</v>
      </c>
      <c r="C9" s="5">
        <v>4.7370000000000001</v>
      </c>
      <c r="D9" s="6">
        <v>8.1150000000000002</v>
      </c>
      <c r="E9" s="6">
        <v>7.9050000000000002</v>
      </c>
      <c r="F9" s="1" t="str">
        <f>HYPERLINK("http://www.ncbi.nlm.nih.gov/pubmed/?term=H2-Q6","H2-Q6")</f>
        <v>H2-Q6</v>
      </c>
    </row>
    <row r="10" spans="1:6" x14ac:dyDescent="0.25">
      <c r="A10" t="s">
        <v>926</v>
      </c>
      <c r="B10" t="s">
        <v>1104</v>
      </c>
      <c r="C10" s="44">
        <v>3.8570000000000002</v>
      </c>
      <c r="D10" s="5">
        <v>4.992</v>
      </c>
      <c r="E10" s="31">
        <v>5.6529999999999996</v>
      </c>
      <c r="F10" s="1" t="str">
        <f>HYPERLINK("http://www.ncbi.nlm.nih.gov/pubmed/?term=H2-M3","H2-M3")</f>
        <v>H2-M3</v>
      </c>
    </row>
    <row r="11" spans="1:6" x14ac:dyDescent="0.25">
      <c r="A11" t="s">
        <v>1861</v>
      </c>
      <c r="B11" t="s">
        <v>1105</v>
      </c>
      <c r="C11" s="44">
        <v>4.3949999999999996</v>
      </c>
      <c r="D11" s="35">
        <v>6.8019999999999996</v>
      </c>
      <c r="E11" s="35">
        <v>7.444</v>
      </c>
      <c r="F11" s="1" t="str">
        <f>HYPERLINK("http://www.ncbi.nlm.nih.gov/pubmed/?term=H2-M2","H2-M2")</f>
        <v>H2-M2</v>
      </c>
    </row>
    <row r="12" spans="1:6" x14ac:dyDescent="0.25">
      <c r="A12" t="s">
        <v>164</v>
      </c>
      <c r="B12" t="s">
        <v>2130</v>
      </c>
      <c r="C12" s="26">
        <v>-2.2599999999999998</v>
      </c>
      <c r="D12" s="26">
        <v>-1.3340000000000001</v>
      </c>
      <c r="E12" s="44">
        <v>3.8769999999999998</v>
      </c>
      <c r="F12" s="1" t="str">
        <f>HYPERLINK("http://www.ncbi.nlm.nih.gov/pubmed/?term=Cd86","Cd86")</f>
        <v>Cd86</v>
      </c>
    </row>
    <row r="13" spans="1:6" x14ac:dyDescent="0.25">
      <c r="A13" t="s">
        <v>2195</v>
      </c>
      <c r="B13" t="s">
        <v>1912</v>
      </c>
      <c r="C13" s="49">
        <v>9.7509999999999994</v>
      </c>
      <c r="D13" s="49">
        <v>10.18</v>
      </c>
      <c r="E13" s="43">
        <v>11.23</v>
      </c>
      <c r="F13" s="1" t="str">
        <f>HYPERLINK("http://www.ncbi.nlm.nih.gov/pubmed/?term=Actb","Actb")</f>
        <v>Actb</v>
      </c>
    </row>
    <row r="14" spans="1:6" x14ac:dyDescent="0.25">
      <c r="A14" t="s">
        <v>1200</v>
      </c>
      <c r="B14" t="s">
        <v>295</v>
      </c>
      <c r="C14" s="4">
        <v>1.873</v>
      </c>
      <c r="D14" s="4">
        <v>1.946</v>
      </c>
      <c r="E14" s="50">
        <v>3.484</v>
      </c>
      <c r="F14" s="1" t="str">
        <f>HYPERLINK("http://www.ncbi.nlm.nih.gov/pubmed/?term=Itgal","Itgal")</f>
        <v>Itgal</v>
      </c>
    </row>
    <row r="15" spans="1:6" x14ac:dyDescent="0.25">
      <c r="A15" t="s">
        <v>674</v>
      </c>
      <c r="B15" t="s">
        <v>1949</v>
      </c>
      <c r="C15" s="50">
        <v>2.6110000000000002</v>
      </c>
      <c r="D15" s="44">
        <v>4.2789999999999999</v>
      </c>
      <c r="E15" s="35">
        <v>6.8239999999999998</v>
      </c>
      <c r="F15" s="1" t="str">
        <f>HYPERLINK("http://www.ncbi.nlm.nih.gov/pubmed/?term=Rac2","Rac2")</f>
        <v>Rac2</v>
      </c>
    </row>
    <row r="16" spans="1:6" x14ac:dyDescent="0.25">
      <c r="A16" t="s">
        <v>1956</v>
      </c>
      <c r="B16" t="s">
        <v>1715</v>
      </c>
      <c r="C16" s="31">
        <v>5.9130000000000003</v>
      </c>
      <c r="D16" s="31">
        <v>5.9269999999999996</v>
      </c>
      <c r="E16" s="6">
        <v>8.0259999999999998</v>
      </c>
      <c r="F16" s="1" t="str">
        <f>HYPERLINK("http://www.ncbi.nlm.nih.gov/pubmed/?term=H2-DMb2","H2-DMb2")</f>
        <v>H2-DMb2</v>
      </c>
    </row>
    <row r="17" spans="1:6" x14ac:dyDescent="0.25">
      <c r="A17" t="s">
        <v>1491</v>
      </c>
      <c r="B17" t="s">
        <v>1428</v>
      </c>
      <c r="C17" s="26">
        <v>-0.41930000000000001</v>
      </c>
      <c r="D17" s="4">
        <v>2.2890000000000001</v>
      </c>
      <c r="E17" s="35">
        <v>6.6079999999999997</v>
      </c>
      <c r="F17" s="1" t="str">
        <f>HYPERLINK("http://www.ncbi.nlm.nih.gov/pubmed/?term=H2-Ob","H2-Ob")</f>
        <v>H2-Ob</v>
      </c>
    </row>
    <row r="18" spans="1:6" x14ac:dyDescent="0.25">
      <c r="A18" t="s">
        <v>1311</v>
      </c>
      <c r="B18" t="s">
        <v>1431</v>
      </c>
      <c r="C18" s="44">
        <v>4.4509999999999996</v>
      </c>
      <c r="D18" s="6">
        <v>8.4649999999999999</v>
      </c>
      <c r="E18" s="34">
        <v>8.5500000000000007</v>
      </c>
      <c r="F18" s="1" t="str">
        <f>HYPERLINK("http://www.ncbi.nlm.nih.gov/pubmed/?term=H2-Q7","H2-Q7")</f>
        <v>H2-Q7</v>
      </c>
    </row>
    <row r="19" spans="1:6" x14ac:dyDescent="0.25">
      <c r="A19" t="s">
        <v>1401</v>
      </c>
      <c r="B19" t="s">
        <v>591</v>
      </c>
      <c r="C19" s="49">
        <v>9.7219999999999995</v>
      </c>
      <c r="D19" s="49">
        <v>9.8309999999999995</v>
      </c>
      <c r="E19" s="43">
        <v>11.67</v>
      </c>
      <c r="F19" s="1" t="str">
        <f>HYPERLINK("http://www.ncbi.nlm.nih.gov/pubmed/?term=H2-Eb1","H2-Eb1")</f>
        <v>H2-Eb1</v>
      </c>
    </row>
    <row r="20" spans="1:6" x14ac:dyDescent="0.25">
      <c r="A20" t="s">
        <v>300</v>
      </c>
      <c r="B20" t="s">
        <v>809</v>
      </c>
      <c r="C20" s="34">
        <v>8.6720000000000006</v>
      </c>
      <c r="D20" s="49">
        <v>10.43</v>
      </c>
      <c r="E20" s="43">
        <v>10.72</v>
      </c>
      <c r="F20" s="1" t="str">
        <f>HYPERLINK("http://www.ncbi.nlm.nih.gov/pubmed/?term=H2-K1","H2-K1")</f>
        <v>H2-K1</v>
      </c>
    </row>
    <row r="21" spans="1:6" x14ac:dyDescent="0.25">
      <c r="A21" t="s">
        <v>216</v>
      </c>
      <c r="B21" t="s">
        <v>586</v>
      </c>
      <c r="C21" s="35">
        <v>6.7060000000000004</v>
      </c>
      <c r="D21" s="6">
        <v>7.649</v>
      </c>
      <c r="E21" s="6">
        <v>7.8150000000000004</v>
      </c>
      <c r="F21" s="1" t="str">
        <f>HYPERLINK("http://www.ncbi.nlm.nih.gov/pubmed/?term=H2-T23","H2-T23")</f>
        <v>H2-T23</v>
      </c>
    </row>
    <row r="22" spans="1:6" x14ac:dyDescent="0.25">
      <c r="A22" t="s">
        <v>2141</v>
      </c>
      <c r="B22" t="s">
        <v>157</v>
      </c>
      <c r="C22" s="4">
        <v>2.1930000000000001</v>
      </c>
      <c r="D22" s="44">
        <v>4.2409999999999997</v>
      </c>
      <c r="E22" s="5">
        <v>4.5410000000000004</v>
      </c>
      <c r="F22" s="1" t="str">
        <f>HYPERLINK("http://www.ncbi.nlm.nih.gov/pubmed/?term=H2-Q10","H2-Q10")</f>
        <v>H2-Q10</v>
      </c>
    </row>
    <row r="23" spans="1:6" x14ac:dyDescent="0.25">
      <c r="A23" t="s">
        <v>247</v>
      </c>
      <c r="B23" t="s">
        <v>265</v>
      </c>
      <c r="C23" s="6">
        <v>8.1630000000000003</v>
      </c>
      <c r="D23" s="49">
        <v>10.1</v>
      </c>
      <c r="E23" s="49">
        <v>10.33</v>
      </c>
      <c r="F23" s="1" t="str">
        <f>HYPERLINK("http://www.ncbi.nlm.nih.gov/pubmed/?term=H2-D1","H2-D1")</f>
        <v>H2-D1</v>
      </c>
    </row>
    <row r="24" spans="1:6" x14ac:dyDescent="0.25">
      <c r="A24" t="s">
        <v>1647</v>
      </c>
      <c r="B24" t="s">
        <v>2128</v>
      </c>
      <c r="C24" s="26">
        <v>-0.96909999999999996</v>
      </c>
      <c r="D24" s="50">
        <v>2.597</v>
      </c>
      <c r="E24" s="35">
        <v>6.5759999999999996</v>
      </c>
      <c r="F24" s="1" t="str">
        <f>HYPERLINK("http://www.ncbi.nlm.nih.gov/pubmed/?term=Cd80","Cd80")</f>
        <v>Cd80</v>
      </c>
    </row>
    <row r="25" spans="1:6" x14ac:dyDescent="0.25">
      <c r="A25" t="s">
        <v>1504</v>
      </c>
      <c r="B25" t="s">
        <v>1434</v>
      </c>
      <c r="C25" s="50">
        <v>3.0409999999999999</v>
      </c>
      <c r="D25" s="44">
        <v>3.6920000000000002</v>
      </c>
      <c r="E25" s="44">
        <v>3.9689999999999999</v>
      </c>
      <c r="F25" s="1" t="str">
        <f>HYPERLINK("http://www.ncbi.nlm.nih.gov/pubmed/?term=H2-Q2","H2-Q2")</f>
        <v>H2-Q2</v>
      </c>
    </row>
    <row r="26" spans="1:6" x14ac:dyDescent="0.25">
      <c r="A26" t="s">
        <v>1939</v>
      </c>
      <c r="B26" t="s">
        <v>223</v>
      </c>
      <c r="C26" s="26">
        <v>-4.8719999999999999</v>
      </c>
      <c r="D26" s="26">
        <v>-1.74</v>
      </c>
      <c r="E26" s="50">
        <v>3.3929999999999998</v>
      </c>
      <c r="F26" s="1" t="str">
        <f>HYPERLINK("http://www.ncbi.nlm.nih.gov/pubmed/?term=Myh15","Myh15")</f>
        <v>Myh15</v>
      </c>
    </row>
    <row r="27" spans="1:6" x14ac:dyDescent="0.25">
      <c r="A27" t="s">
        <v>849</v>
      </c>
      <c r="B27" t="s">
        <v>20</v>
      </c>
      <c r="C27" s="5">
        <v>5.2140000000000004</v>
      </c>
      <c r="D27" s="31">
        <v>5.5590000000000002</v>
      </c>
      <c r="E27" s="44">
        <v>3.8559999999999999</v>
      </c>
      <c r="F27" s="1" t="str">
        <f>HYPERLINK("http://www.ncbi.nlm.nih.gov/pubmed/?term=Dag1","Dag1")</f>
        <v>Dag1</v>
      </c>
    </row>
    <row r="28" spans="1:6" x14ac:dyDescent="0.25">
      <c r="A28" t="s">
        <v>1408</v>
      </c>
      <c r="B28" t="s">
        <v>782</v>
      </c>
      <c r="C28" s="44">
        <v>4.3209999999999997</v>
      </c>
      <c r="D28" s="4">
        <v>1.758</v>
      </c>
      <c r="E28" s="4">
        <v>1.5389999999999999</v>
      </c>
      <c r="F28" s="1" t="str">
        <f>HYPERLINK("http://www.ncbi.nlm.nih.gov/pubmed/?term=Myh10","Myh10")</f>
        <v>Myh10</v>
      </c>
    </row>
    <row r="29" spans="1:6" x14ac:dyDescent="0.25">
      <c r="A29" t="s">
        <v>767</v>
      </c>
      <c r="B29" t="s">
        <v>423</v>
      </c>
      <c r="C29" s="5">
        <v>4.8289999999999997</v>
      </c>
      <c r="D29" s="44">
        <v>4.407</v>
      </c>
      <c r="E29" s="50">
        <v>3.44</v>
      </c>
      <c r="F29" s="1" t="str">
        <f>HYPERLINK("http://www.ncbi.nlm.nih.gov/pubmed/?term=Abl1","Abl1")</f>
        <v>Abl1</v>
      </c>
    </row>
    <row r="30" spans="1:6" x14ac:dyDescent="0.25">
      <c r="A30" t="s">
        <v>2183</v>
      </c>
      <c r="B30" t="s">
        <v>628</v>
      </c>
      <c r="C30" s="31">
        <v>5.5890000000000004</v>
      </c>
      <c r="D30" s="5">
        <v>4.5679999999999996</v>
      </c>
      <c r="E30" s="50">
        <v>3.1139999999999999</v>
      </c>
      <c r="F30" s="1" t="str">
        <f>HYPERLINK("http://www.ncbi.nlm.nih.gov/pubmed/?term=Eif4g3","Eif4g3")</f>
        <v>Eif4g3</v>
      </c>
    </row>
    <row r="31" spans="1:6" x14ac:dyDescent="0.25">
      <c r="A31" t="s">
        <v>1753</v>
      </c>
      <c r="B31" t="s">
        <v>252</v>
      </c>
      <c r="C31" s="5">
        <v>4.8380000000000001</v>
      </c>
      <c r="D31" s="5">
        <v>4.8330000000000002</v>
      </c>
      <c r="E31" s="35">
        <v>7.3019999999999996</v>
      </c>
      <c r="F31" s="1" t="str">
        <f>HYPERLINK("http://www.ncbi.nlm.nih.gov/pubmed/?term=Cd40","Cd40")</f>
        <v>Cd40</v>
      </c>
    </row>
    <row r="32" spans="1:6" x14ac:dyDescent="0.25">
      <c r="A32" t="s">
        <v>807</v>
      </c>
      <c r="B32" t="s">
        <v>1950</v>
      </c>
      <c r="C32" s="5">
        <v>5.1239999999999997</v>
      </c>
      <c r="D32" s="50">
        <v>3.4119999999999999</v>
      </c>
      <c r="E32" s="5">
        <v>5.2290000000000001</v>
      </c>
      <c r="F32" s="1" t="str">
        <f>HYPERLINK("http://www.ncbi.nlm.nih.gov/pubmed/?term=Rac3","Rac3")</f>
        <v>Rac3</v>
      </c>
    </row>
    <row r="33" spans="1:6" x14ac:dyDescent="0.25">
      <c r="A33" t="s">
        <v>1324</v>
      </c>
      <c r="B33" t="s">
        <v>1429</v>
      </c>
      <c r="C33" s="5">
        <v>5.2809999999999997</v>
      </c>
      <c r="D33" s="5">
        <v>5.2389999999999999</v>
      </c>
      <c r="E33" s="6">
        <v>8.2189999999999994</v>
      </c>
      <c r="F33" s="1" t="str">
        <f>HYPERLINK("http://www.ncbi.nlm.nih.gov/pubmed/?term=H2-Oa","H2-Oa")</f>
        <v>H2-Oa</v>
      </c>
    </row>
    <row r="34" spans="1:6" x14ac:dyDescent="0.25">
      <c r="A34" t="s">
        <v>528</v>
      </c>
      <c r="B34" t="s">
        <v>1739</v>
      </c>
      <c r="C34" s="49">
        <v>10.41</v>
      </c>
      <c r="D34" s="49">
        <v>10.1</v>
      </c>
      <c r="E34" s="43">
        <v>12.37</v>
      </c>
      <c r="F34" s="1" t="str">
        <f>HYPERLINK("http://www.ncbi.nlm.nih.gov/pubmed/?term=H2-Aa","H2-Aa")</f>
        <v>H2-Aa</v>
      </c>
    </row>
    <row r="35" spans="1:6" x14ac:dyDescent="0.25">
      <c r="A35" t="s">
        <v>546</v>
      </c>
      <c r="B35" t="s">
        <v>647</v>
      </c>
      <c r="C35" s="35">
        <v>7.0970000000000004</v>
      </c>
      <c r="D35" s="35">
        <v>6.6790000000000003</v>
      </c>
      <c r="E35" s="34">
        <v>8.57</v>
      </c>
      <c r="F35" s="1" t="str">
        <f>HYPERLINK("http://www.ncbi.nlm.nih.gov/pubmed/?term=Icam1","Icam1")</f>
        <v>Icam1</v>
      </c>
    </row>
    <row r="36" spans="1:6" x14ac:dyDescent="0.25">
      <c r="A36" t="s">
        <v>1974</v>
      </c>
      <c r="B36" t="s">
        <v>1270</v>
      </c>
      <c r="C36" s="43">
        <v>10.67</v>
      </c>
      <c r="D36" s="49">
        <v>10.31</v>
      </c>
      <c r="E36" s="43">
        <v>12.36</v>
      </c>
      <c r="F36" s="1" t="str">
        <f>HYPERLINK("http://www.ncbi.nlm.nih.gov/pubmed/?term=H2-Ab1","H2-Ab1")</f>
        <v>H2-Ab1</v>
      </c>
    </row>
    <row r="37" spans="1:6" x14ac:dyDescent="0.25">
      <c r="A37" t="s">
        <v>1468</v>
      </c>
      <c r="B37" t="s">
        <v>1716</v>
      </c>
      <c r="C37" s="5">
        <v>5.3959999999999999</v>
      </c>
      <c r="D37" s="5">
        <v>5.0060000000000002</v>
      </c>
      <c r="E37" s="35">
        <v>6.9</v>
      </c>
      <c r="F37" s="1" t="str">
        <f>HYPERLINK("http://www.ncbi.nlm.nih.gov/pubmed/?term=H2-DMb1","H2-DMb1")</f>
        <v>H2-DMb1</v>
      </c>
    </row>
    <row r="38" spans="1:6" x14ac:dyDescent="0.25">
      <c r="A38" t="s">
        <v>1660</v>
      </c>
      <c r="B38" t="s">
        <v>2069</v>
      </c>
      <c r="C38" s="44">
        <v>3.8090000000000002</v>
      </c>
      <c r="D38" s="26">
        <v>-1.27</v>
      </c>
      <c r="E38" s="26">
        <v>-1.117</v>
      </c>
      <c r="F38" s="1" t="str">
        <f>HYPERLINK("http://www.ncbi.nlm.nih.gov/pubmed/?term=Itgb2","Itgb2")</f>
        <v>Itgb2</v>
      </c>
    </row>
    <row r="39" spans="1:6" x14ac:dyDescent="0.25">
      <c r="A39" t="s">
        <v>865</v>
      </c>
      <c r="B39" t="s">
        <v>1044</v>
      </c>
      <c r="C39" s="35">
        <v>6.5350000000000001</v>
      </c>
      <c r="D39" s="5">
        <v>4.9409999999999998</v>
      </c>
      <c r="E39" s="31">
        <v>6.3239999999999998</v>
      </c>
      <c r="F39" s="1" t="str">
        <f>HYPERLINK("http://www.ncbi.nlm.nih.gov/pubmed/?term=H2-DMa","H2-DMa")</f>
        <v>H2-DMa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1256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1065</v>
      </c>
      <c r="B5" t="s">
        <v>1002</v>
      </c>
      <c r="C5" s="26">
        <v>-2.8279999999999998</v>
      </c>
      <c r="D5" s="14">
        <v>1.478</v>
      </c>
      <c r="E5" s="28">
        <v>5.6040000000000001</v>
      </c>
      <c r="F5" s="1" t="str">
        <f>HYPERLINK("http://www.ncbi.nlm.nih.gov/pubmed/?term=Kynu","Kynu")</f>
        <v>Kynu</v>
      </c>
    </row>
    <row r="6" spans="1:6" x14ac:dyDescent="0.25">
      <c r="A6" t="s">
        <v>1831</v>
      </c>
      <c r="B6" t="s">
        <v>1047</v>
      </c>
      <c r="C6" s="26">
        <v>-1.891</v>
      </c>
      <c r="D6" s="42">
        <v>3.7509999999999999</v>
      </c>
      <c r="E6" s="43">
        <v>6.9809999999999999</v>
      </c>
      <c r="F6" s="1" t="str">
        <f>HYPERLINK("http://www.ncbi.nlm.nih.gov/pubmed/?term=Abp1","Abp1")</f>
        <v>Abp1</v>
      </c>
    </row>
    <row r="7" spans="1:6" x14ac:dyDescent="0.25">
      <c r="A7" t="s">
        <v>321</v>
      </c>
      <c r="B7" t="s">
        <v>983</v>
      </c>
      <c r="C7" s="14">
        <v>1.254</v>
      </c>
      <c r="D7" s="28">
        <v>6.3419999999999996</v>
      </c>
      <c r="E7" s="43">
        <v>8.1620000000000008</v>
      </c>
      <c r="F7" s="1" t="str">
        <f>HYPERLINK("http://www.ncbi.nlm.nih.gov/pubmed/?term=Il4i1","Il4i1")</f>
        <v>Il4i1</v>
      </c>
    </row>
    <row r="8" spans="1:6" x14ac:dyDescent="0.25">
      <c r="A8" t="s">
        <v>1248</v>
      </c>
      <c r="B8" t="s">
        <v>2158</v>
      </c>
      <c r="C8" s="27">
        <v>5.4740000000000002</v>
      </c>
      <c r="D8" s="28">
        <v>6.3890000000000002</v>
      </c>
      <c r="E8" s="42">
        <v>3.6019999999999999</v>
      </c>
      <c r="F8" s="1" t="str">
        <f>HYPERLINK("http://www.ncbi.nlm.nih.gov/pubmed/?term=Aldh2","Aldh2")</f>
        <v>Aldh2</v>
      </c>
    </row>
    <row r="9" spans="1:6" x14ac:dyDescent="0.25">
      <c r="A9" t="s">
        <v>418</v>
      </c>
      <c r="B9" t="s">
        <v>776</v>
      </c>
      <c r="C9" s="36">
        <v>1.93</v>
      </c>
      <c r="D9" s="42">
        <v>3.9969999999999999</v>
      </c>
      <c r="E9" s="14">
        <v>1.28</v>
      </c>
      <c r="F9" s="1" t="str">
        <f>HYPERLINK("http://www.ncbi.nlm.nih.gov/pubmed/?term=Aox4","Aox4")</f>
        <v>Aox4</v>
      </c>
    </row>
    <row r="10" spans="1:6" x14ac:dyDescent="0.25">
      <c r="A10" t="s">
        <v>683</v>
      </c>
      <c r="B10" t="s">
        <v>1793</v>
      </c>
      <c r="C10" s="28">
        <v>6.4889999999999999</v>
      </c>
      <c r="D10" s="28">
        <v>6.3239999999999998</v>
      </c>
      <c r="E10" s="27">
        <v>5.26</v>
      </c>
      <c r="F10" s="1" t="str">
        <f>HYPERLINK("http://www.ncbi.nlm.nih.gov/pubmed/?term=Aldh3a2","Aldh3a2")</f>
        <v>Aldh3a2</v>
      </c>
    </row>
    <row r="11" spans="1:6" x14ac:dyDescent="0.25">
      <c r="A11" t="s">
        <v>351</v>
      </c>
      <c r="B11" t="s">
        <v>537</v>
      </c>
      <c r="C11" s="42">
        <v>3.7309999999999999</v>
      </c>
      <c r="D11" s="47">
        <v>3.4049999999999998</v>
      </c>
      <c r="E11" s="26">
        <v>-9.0929999999999997E-2</v>
      </c>
      <c r="F11" s="1" t="str">
        <f>HYPERLINK("http://www.ncbi.nlm.nih.gov/pubmed/?term=Cyp1b1","Cyp1b1")</f>
        <v>Cyp1b1</v>
      </c>
    </row>
    <row r="12" spans="1:6" x14ac:dyDescent="0.25">
      <c r="A12" t="s">
        <v>476</v>
      </c>
      <c r="B12" t="s">
        <v>2194</v>
      </c>
      <c r="C12" s="28">
        <v>5.8730000000000002</v>
      </c>
      <c r="D12" s="42">
        <v>4.1980000000000004</v>
      </c>
      <c r="E12" s="47">
        <v>3.476</v>
      </c>
      <c r="F12" s="1" t="str">
        <f>HYPERLINK("http://www.ncbi.nlm.nih.gov/pubmed/?term=Aldh7a1","Aldh7a1")</f>
        <v>Aldh7a1</v>
      </c>
    </row>
    <row r="13" spans="1:6" x14ac:dyDescent="0.25">
      <c r="A13" t="s">
        <v>1419</v>
      </c>
      <c r="B13" t="s">
        <v>1095</v>
      </c>
      <c r="C13" s="36">
        <v>1.913</v>
      </c>
      <c r="D13" s="36">
        <v>1.528</v>
      </c>
      <c r="E13" s="42">
        <v>4.2119999999999997</v>
      </c>
      <c r="F13" s="1" t="str">
        <f>HYPERLINK("http://www.ncbi.nlm.nih.gov/pubmed/?term=Maoa","Maoa")</f>
        <v>Maoa</v>
      </c>
    </row>
    <row r="14" spans="1:6" x14ac:dyDescent="0.25">
      <c r="A14" t="s">
        <v>204</v>
      </c>
      <c r="B14" t="s">
        <v>1798</v>
      </c>
      <c r="C14" s="27">
        <v>4.7560000000000002</v>
      </c>
      <c r="D14" s="42">
        <v>4.1689999999999996</v>
      </c>
      <c r="E14" s="27">
        <v>5.2770000000000001</v>
      </c>
      <c r="F14" s="1" t="str">
        <f>HYPERLINK("http://www.ncbi.nlm.nih.gov/pubmed/?term=Cat","Cat")</f>
        <v>Cat</v>
      </c>
    </row>
    <row r="15" spans="1:6" x14ac:dyDescent="0.25">
      <c r="A15" t="s">
        <v>903</v>
      </c>
      <c r="B15" t="s">
        <v>110</v>
      </c>
      <c r="C15" s="14">
        <v>1.375</v>
      </c>
      <c r="D15" s="26">
        <v>-0.68600000000000005</v>
      </c>
      <c r="E15" s="42">
        <v>4.0199999999999996</v>
      </c>
      <c r="F15" s="1" t="str">
        <f>HYPERLINK("http://www.ncbi.nlm.nih.gov/pubmed/?term=Tph1","Tph1")</f>
        <v>Tph1</v>
      </c>
    </row>
    <row r="16" spans="1:6" x14ac:dyDescent="0.25">
      <c r="A16" t="s">
        <v>568</v>
      </c>
      <c r="B16" t="s">
        <v>1896</v>
      </c>
      <c r="C16" s="27">
        <v>4.9530000000000003</v>
      </c>
      <c r="D16" s="26">
        <v>-2.984</v>
      </c>
      <c r="E16" s="26">
        <v>-1.5720000000000001</v>
      </c>
      <c r="F16" s="1" t="str">
        <f>HYPERLINK("http://www.ncbi.nlm.nih.gov/pubmed/?term=Inmt","Inmt")</f>
        <v>Inmt</v>
      </c>
    </row>
    <row r="17" spans="1:6" x14ac:dyDescent="0.25">
      <c r="A17" t="s">
        <v>1091</v>
      </c>
      <c r="B17" t="s">
        <v>226</v>
      </c>
      <c r="C17" s="28">
        <v>6.09</v>
      </c>
      <c r="D17" s="27">
        <v>4.8970000000000002</v>
      </c>
      <c r="E17" s="28">
        <v>5.56</v>
      </c>
      <c r="F17" s="1" t="str">
        <f>HYPERLINK("http://www.ncbi.nlm.nih.gov/pubmed/?term=Hadha","Hadha")</f>
        <v>Hadha</v>
      </c>
    </row>
    <row r="18" spans="1:6" x14ac:dyDescent="0.25">
      <c r="A18" t="s">
        <v>1979</v>
      </c>
      <c r="B18" t="s">
        <v>1316</v>
      </c>
      <c r="C18" s="27">
        <v>5.0529999999999999</v>
      </c>
      <c r="D18" s="42">
        <v>3.5739999999999998</v>
      </c>
      <c r="E18" s="42">
        <v>3.59</v>
      </c>
      <c r="F18" s="1" t="str">
        <f>HYPERLINK("http://www.ncbi.nlm.nih.gov/pubmed/?term=Aldh9a1","Aldh9a1")</f>
        <v>Aldh9a1</v>
      </c>
    </row>
    <row r="19" spans="1:6" x14ac:dyDescent="0.25">
      <c r="A19" t="s">
        <v>227</v>
      </c>
      <c r="B19" t="s">
        <v>2031</v>
      </c>
      <c r="C19" s="43">
        <v>6.6139999999999999</v>
      </c>
      <c r="D19" s="27">
        <v>5.085</v>
      </c>
      <c r="E19" s="27">
        <v>5.38</v>
      </c>
      <c r="F19" s="1" t="str">
        <f>HYPERLINK("http://www.ncbi.nlm.nih.gov/pubmed/?term=Hadh","Hadh")</f>
        <v>Hadh</v>
      </c>
    </row>
    <row r="20" spans="1:6" x14ac:dyDescent="0.25">
      <c r="A20" t="s">
        <v>1366</v>
      </c>
      <c r="B20" t="s">
        <v>97</v>
      </c>
      <c r="C20" s="27">
        <v>5.3230000000000004</v>
      </c>
      <c r="D20" s="42">
        <v>3.5150000000000001</v>
      </c>
      <c r="E20" s="27">
        <v>4.758</v>
      </c>
      <c r="F20" s="1" t="str">
        <f>HYPERLINK("http://www.ncbi.nlm.nih.gov/pubmed/?term=Acat1","Acat1")</f>
        <v>Acat1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515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1169</v>
      </c>
      <c r="B5" t="s">
        <v>62</v>
      </c>
      <c r="C5" s="26">
        <v>-2.363</v>
      </c>
      <c r="D5" s="45">
        <v>5.6109999999999998</v>
      </c>
      <c r="E5" s="33">
        <v>5.3639999999999999</v>
      </c>
      <c r="F5" s="1" t="str">
        <f>HYPERLINK("http://www.ncbi.nlm.nih.gov/pubmed/?term=Calm4","Calm4")</f>
        <v>Calm4</v>
      </c>
    </row>
    <row r="6" spans="1:6" x14ac:dyDescent="0.25">
      <c r="A6" t="s">
        <v>1382</v>
      </c>
      <c r="B6" t="s">
        <v>440</v>
      </c>
      <c r="C6" s="26">
        <v>-1.218</v>
      </c>
      <c r="D6" s="22">
        <v>3.7610000000000001</v>
      </c>
      <c r="E6" s="18">
        <v>3.367</v>
      </c>
      <c r="F6" s="1" t="str">
        <f>HYPERLINK("http://www.ncbi.nlm.nih.gov/pubmed/?term=Camk2b","Camk2b")</f>
        <v>Camk2b</v>
      </c>
    </row>
    <row r="7" spans="1:6" x14ac:dyDescent="0.25">
      <c r="A7" t="s">
        <v>2047</v>
      </c>
      <c r="B7" t="s">
        <v>296</v>
      </c>
      <c r="C7" s="26">
        <v>-2.004</v>
      </c>
      <c r="D7" s="26">
        <v>0.45179999999999998</v>
      </c>
      <c r="E7" s="18">
        <v>3.4060000000000001</v>
      </c>
      <c r="F7" s="1" t="str">
        <f>HYPERLINK("http://www.ncbi.nlm.nih.gov/pubmed/?term=Grin2d","Grin2d")</f>
        <v>Grin2d</v>
      </c>
    </row>
    <row r="8" spans="1:6" x14ac:dyDescent="0.25">
      <c r="A8" t="s">
        <v>26</v>
      </c>
      <c r="B8" t="s">
        <v>1302</v>
      </c>
      <c r="C8" s="18">
        <v>3.1419999999999999</v>
      </c>
      <c r="D8" s="22">
        <v>3.51</v>
      </c>
      <c r="E8" s="43">
        <v>7.8719999999999999</v>
      </c>
      <c r="F8" s="1" t="str">
        <f>HYPERLINK("http://www.ncbi.nlm.nih.gov/pubmed/?term=Sirt1","Sirt1")</f>
        <v>Sirt1</v>
      </c>
    </row>
    <row r="9" spans="1:6" x14ac:dyDescent="0.25">
      <c r="A9" t="s">
        <v>299</v>
      </c>
      <c r="B9" t="s">
        <v>293</v>
      </c>
      <c r="C9" s="26">
        <v>-0.69020000000000004</v>
      </c>
      <c r="D9" s="13">
        <v>1.2450000000000001</v>
      </c>
      <c r="E9" s="45">
        <v>6.4189999999999996</v>
      </c>
      <c r="F9" s="1" t="str">
        <f>HYPERLINK("http://www.ncbi.nlm.nih.gov/pubmed/?term=Grin2c","Grin2c")</f>
        <v>Grin2c</v>
      </c>
    </row>
    <row r="10" spans="1:6" x14ac:dyDescent="0.25">
      <c r="A10" t="s">
        <v>917</v>
      </c>
      <c r="B10" t="s">
        <v>431</v>
      </c>
      <c r="C10" s="26">
        <v>-0.88300000000000001</v>
      </c>
      <c r="D10" s="18">
        <v>2.6680000000000001</v>
      </c>
      <c r="E10" s="22">
        <v>3.948</v>
      </c>
      <c r="F10" s="1" t="str">
        <f>HYPERLINK("http://www.ncbi.nlm.nih.gov/pubmed/?term=Arc","Arc")</f>
        <v>Arc</v>
      </c>
    </row>
    <row r="11" spans="1:6" x14ac:dyDescent="0.25">
      <c r="A11" t="s">
        <v>2124</v>
      </c>
      <c r="B11" t="s">
        <v>2188</v>
      </c>
      <c r="C11" s="26">
        <v>-1.919</v>
      </c>
      <c r="D11" s="45">
        <v>5.5629999999999997</v>
      </c>
      <c r="E11" s="45">
        <v>5.6420000000000003</v>
      </c>
      <c r="F11" s="1" t="str">
        <f>HYPERLINK("http://www.ncbi.nlm.nih.gov/pubmed/?term=Calml3","Calml3")</f>
        <v>Calml3</v>
      </c>
    </row>
    <row r="12" spans="1:6" x14ac:dyDescent="0.25">
      <c r="A12" t="s">
        <v>1045</v>
      </c>
      <c r="B12" t="s">
        <v>1412</v>
      </c>
      <c r="C12" s="43">
        <v>8.2629999999999999</v>
      </c>
      <c r="D12" s="43">
        <v>8.5969999999999995</v>
      </c>
      <c r="E12" s="2">
        <v>6.7990000000000004</v>
      </c>
      <c r="F12" s="1" t="str">
        <f>HYPERLINK("http://www.ncbi.nlm.nih.gov/pubmed/?term=Fos","Fos")</f>
        <v>Fos</v>
      </c>
    </row>
    <row r="13" spans="1:6" x14ac:dyDescent="0.25">
      <c r="A13" t="s">
        <v>686</v>
      </c>
      <c r="B13" t="s">
        <v>593</v>
      </c>
      <c r="C13" s="43">
        <v>7.6289999999999996</v>
      </c>
      <c r="D13" s="43">
        <v>8.4730000000000008</v>
      </c>
      <c r="E13" s="2">
        <v>7.0110000000000001</v>
      </c>
      <c r="F13" s="1" t="str">
        <f>HYPERLINK("http://www.ncbi.nlm.nih.gov/pubmed/?term=Calm2","Calm2")</f>
        <v>Calm2</v>
      </c>
    </row>
    <row r="14" spans="1:6" x14ac:dyDescent="0.25">
      <c r="A14" t="s">
        <v>1884</v>
      </c>
      <c r="B14" t="s">
        <v>2000</v>
      </c>
      <c r="C14" s="43">
        <v>8.7729999999999997</v>
      </c>
      <c r="D14" s="43">
        <v>9.0190000000000001</v>
      </c>
      <c r="E14" s="2">
        <v>7.4089999999999998</v>
      </c>
      <c r="F14" s="1" t="str">
        <f>HYPERLINK("http://www.ncbi.nlm.nih.gov/pubmed/?term=Jun","Jun")</f>
        <v>Jun</v>
      </c>
    </row>
    <row r="15" spans="1:6" x14ac:dyDescent="0.25">
      <c r="A15" t="s">
        <v>651</v>
      </c>
      <c r="B15" t="s">
        <v>438</v>
      </c>
      <c r="C15" s="18">
        <v>3.008</v>
      </c>
      <c r="D15" s="22">
        <v>4.3090000000000002</v>
      </c>
      <c r="E15" s="23">
        <v>2.335</v>
      </c>
      <c r="F15" s="1" t="str">
        <f>HYPERLINK("http://www.ncbi.nlm.nih.gov/pubmed/?term=Camk2d","Camk2d")</f>
        <v>Camk2d</v>
      </c>
    </row>
    <row r="16" spans="1:6" x14ac:dyDescent="0.25">
      <c r="A16" t="s">
        <v>1143</v>
      </c>
      <c r="B16" t="s">
        <v>595</v>
      </c>
      <c r="C16" s="2">
        <v>6.7370000000000001</v>
      </c>
      <c r="D16" s="45">
        <v>6.1340000000000003</v>
      </c>
      <c r="E16" s="45">
        <v>5.6020000000000003</v>
      </c>
      <c r="F16" s="1" t="str">
        <f>HYPERLINK("http://www.ncbi.nlm.nih.gov/pubmed/?term=Calm1","Calm1")</f>
        <v>Calm1</v>
      </c>
    </row>
    <row r="17" spans="1:6" x14ac:dyDescent="0.25">
      <c r="A17" t="s">
        <v>1506</v>
      </c>
      <c r="B17" t="s">
        <v>1331</v>
      </c>
      <c r="C17" s="33">
        <v>4.74</v>
      </c>
      <c r="D17" s="22">
        <v>3.9580000000000002</v>
      </c>
      <c r="E17" s="18">
        <v>2.786</v>
      </c>
      <c r="F17" s="1" t="str">
        <f>HYPERLINK("http://www.ncbi.nlm.nih.gov/pubmed/?term=Prkacb","Prkacb")</f>
        <v>Prkacb</v>
      </c>
    </row>
    <row r="18" spans="1:6" x14ac:dyDescent="0.25">
      <c r="A18" t="s">
        <v>2079</v>
      </c>
      <c r="B18" t="s">
        <v>439</v>
      </c>
      <c r="C18" s="22">
        <v>4.1420000000000003</v>
      </c>
      <c r="D18" s="18">
        <v>3.1230000000000002</v>
      </c>
      <c r="E18" s="18">
        <v>2.609</v>
      </c>
      <c r="F18" s="1" t="str">
        <f>HYPERLINK("http://www.ncbi.nlm.nih.gov/pubmed/?term=Camk2g","Camk2g")</f>
        <v>Camk2g</v>
      </c>
    </row>
    <row r="19" spans="1:6" x14ac:dyDescent="0.25">
      <c r="A19" t="s">
        <v>1546</v>
      </c>
      <c r="B19" t="s">
        <v>518</v>
      </c>
      <c r="C19" s="45">
        <v>5.74</v>
      </c>
      <c r="D19" s="22">
        <v>4.1070000000000002</v>
      </c>
      <c r="E19" s="22">
        <v>3.919</v>
      </c>
      <c r="F19" s="1" t="str">
        <f>HYPERLINK("http://www.ncbi.nlm.nih.gov/pubmed/?term=Camk4","Camk4")</f>
        <v>Camk4</v>
      </c>
    </row>
    <row r="20" spans="1:6" x14ac:dyDescent="0.25">
      <c r="A20" t="s">
        <v>232</v>
      </c>
      <c r="B20" t="s">
        <v>852</v>
      </c>
      <c r="C20" s="33">
        <v>5.3940000000000001</v>
      </c>
      <c r="D20" s="22">
        <v>3.6669999999999998</v>
      </c>
      <c r="E20" s="18">
        <v>3.407</v>
      </c>
      <c r="F20" s="1" t="str">
        <f>HYPERLINK("http://www.ncbi.nlm.nih.gov/pubmed/?term=Creb3l2","Creb3l2")</f>
        <v>Creb3l2</v>
      </c>
    </row>
    <row r="21" spans="1:6" x14ac:dyDescent="0.25">
      <c r="A21" t="s">
        <v>692</v>
      </c>
      <c r="B21" t="s">
        <v>88</v>
      </c>
      <c r="C21" s="18">
        <v>2.6360000000000001</v>
      </c>
      <c r="D21" s="23">
        <v>1.611</v>
      </c>
      <c r="E21" s="22">
        <v>4.3449999999999998</v>
      </c>
      <c r="F21" s="1" t="str">
        <f>HYPERLINK("http://www.ncbi.nlm.nih.gov/pubmed/?term=Gria3","Gria3")</f>
        <v>Gria3</v>
      </c>
    </row>
    <row r="22" spans="1:6" x14ac:dyDescent="0.25">
      <c r="A22" t="s">
        <v>1419</v>
      </c>
      <c r="B22" t="s">
        <v>1095</v>
      </c>
      <c r="C22" s="23">
        <v>1.913</v>
      </c>
      <c r="D22" s="23">
        <v>1.528</v>
      </c>
      <c r="E22" s="22">
        <v>4.2119999999999997</v>
      </c>
      <c r="F22" s="1" t="str">
        <f>HYPERLINK("http://www.ncbi.nlm.nih.gov/pubmed/?term=Maoa","Maoa")</f>
        <v>Maoa</v>
      </c>
    </row>
    <row r="23" spans="1:6" x14ac:dyDescent="0.25">
      <c r="A23" t="s">
        <v>1880</v>
      </c>
      <c r="B23" t="s">
        <v>1077</v>
      </c>
      <c r="C23" s="22">
        <v>3.6549999999999998</v>
      </c>
      <c r="D23" s="18">
        <v>3.3140000000000001</v>
      </c>
      <c r="E23" s="45">
        <v>6.2270000000000003</v>
      </c>
      <c r="F23" s="1" t="str">
        <f>HYPERLINK("http://www.ncbi.nlm.nih.gov/pubmed/?term=Prkca","Prkca")</f>
        <v>Prkca</v>
      </c>
    </row>
    <row r="24" spans="1:6" x14ac:dyDescent="0.25">
      <c r="A24" t="s">
        <v>1907</v>
      </c>
      <c r="B24" t="s">
        <v>594</v>
      </c>
      <c r="C24" s="2">
        <v>6.91</v>
      </c>
      <c r="D24" s="45">
        <v>6.0519999999999996</v>
      </c>
      <c r="E24" s="45">
        <v>6.492</v>
      </c>
      <c r="F24" s="1" t="str">
        <f>HYPERLINK("http://www.ncbi.nlm.nih.gov/pubmed/?term=Calm3","Calm3")</f>
        <v>Calm3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244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1118</v>
      </c>
      <c r="B5" t="s">
        <v>1876</v>
      </c>
      <c r="C5" s="26">
        <v>-0.1104</v>
      </c>
      <c r="D5" s="43">
        <v>5.7569999999999997</v>
      </c>
      <c r="E5" s="16">
        <v>5.3170000000000002</v>
      </c>
      <c r="F5" s="1" t="str">
        <f>HYPERLINK("http://www.ncbi.nlm.nih.gov/pubmed/?term=Dapk2","Dapk2")</f>
        <v>Dapk2</v>
      </c>
    </row>
    <row r="6" spans="1:6" x14ac:dyDescent="0.25">
      <c r="A6" t="s">
        <v>853</v>
      </c>
      <c r="B6" t="s">
        <v>1990</v>
      </c>
      <c r="C6" s="26">
        <v>2.0140000000000002E-2</v>
      </c>
      <c r="D6" s="16">
        <v>5.3710000000000004</v>
      </c>
      <c r="E6" s="3">
        <v>4.4320000000000004</v>
      </c>
      <c r="F6" s="1" t="str">
        <f>HYPERLINK("http://www.ncbi.nlm.nih.gov/pubmed/?term=Ccnd1","Ccnd1")</f>
        <v>Ccnd1</v>
      </c>
    </row>
    <row r="7" spans="1:6" x14ac:dyDescent="0.25">
      <c r="A7" t="s">
        <v>567</v>
      </c>
      <c r="B7" t="s">
        <v>1580</v>
      </c>
      <c r="C7" s="3">
        <v>3.569</v>
      </c>
      <c r="D7" s="43">
        <v>5.556</v>
      </c>
      <c r="E7" s="43">
        <v>6.1470000000000002</v>
      </c>
      <c r="F7" s="1" t="str">
        <f>HYPERLINK("http://www.ncbi.nlm.nih.gov/pubmed/?term=Cdkn1a","Cdkn1a")</f>
        <v>Cdkn1a</v>
      </c>
    </row>
    <row r="8" spans="1:6" x14ac:dyDescent="0.25">
      <c r="A8" t="s">
        <v>2023</v>
      </c>
      <c r="B8" t="s">
        <v>897</v>
      </c>
      <c r="C8" s="3">
        <v>4.37</v>
      </c>
      <c r="D8" s="16">
        <v>5.0970000000000004</v>
      </c>
      <c r="E8" s="16">
        <v>5.4119999999999999</v>
      </c>
      <c r="F8" s="1" t="str">
        <f>HYPERLINK("http://www.ncbi.nlm.nih.gov/pubmed/?term=Hras1","Hras1")</f>
        <v>Hras1</v>
      </c>
    </row>
    <row r="9" spans="1:6" x14ac:dyDescent="0.25">
      <c r="A9" t="s">
        <v>823</v>
      </c>
      <c r="B9" t="s">
        <v>1992</v>
      </c>
      <c r="C9" s="26">
        <v>-2.1560000000000001</v>
      </c>
      <c r="D9" s="22">
        <v>3.274</v>
      </c>
      <c r="E9" s="3">
        <v>3.9910000000000001</v>
      </c>
      <c r="F9" s="1" t="str">
        <f>HYPERLINK("http://www.ncbi.nlm.nih.gov/pubmed/?term=Cdkn2a","Cdkn2a")</f>
        <v>Cdkn2a</v>
      </c>
    </row>
    <row r="10" spans="1:6" x14ac:dyDescent="0.25">
      <c r="A10" t="s">
        <v>91</v>
      </c>
      <c r="B10" t="s">
        <v>1403</v>
      </c>
      <c r="C10" s="41">
        <v>1.8640000000000001</v>
      </c>
      <c r="D10" s="3">
        <v>3.6930000000000001</v>
      </c>
      <c r="E10" s="16">
        <v>4.968</v>
      </c>
      <c r="F10" s="1" t="str">
        <f>HYPERLINK("http://www.ncbi.nlm.nih.gov/pubmed/?term=Erbb2","Erbb2")</f>
        <v>Erbb2</v>
      </c>
    </row>
    <row r="11" spans="1:6" x14ac:dyDescent="0.25">
      <c r="A11" t="s">
        <v>24</v>
      </c>
      <c r="B11" t="s">
        <v>655</v>
      </c>
      <c r="C11" s="43">
        <v>6.9450000000000003</v>
      </c>
      <c r="D11" s="43">
        <v>6.3869999999999996</v>
      </c>
      <c r="E11" s="3">
        <v>4.3650000000000002</v>
      </c>
      <c r="F11" s="1" t="str">
        <f>HYPERLINK("http://www.ncbi.nlm.nih.gov/pubmed/?term=Mmp9","Mmp9")</f>
        <v>Mmp9</v>
      </c>
    </row>
    <row r="12" spans="1:6" x14ac:dyDescent="0.25">
      <c r="A12" t="s">
        <v>1444</v>
      </c>
      <c r="B12" t="s">
        <v>1417</v>
      </c>
      <c r="C12" s="16">
        <v>4.7190000000000003</v>
      </c>
      <c r="D12" s="3">
        <v>4.1989999999999998</v>
      </c>
      <c r="E12" s="22">
        <v>2.794</v>
      </c>
      <c r="F12" s="1" t="str">
        <f>HYPERLINK("http://www.ncbi.nlm.nih.gov/pubmed/?term=Egfr","Egfr")</f>
        <v>Egfr</v>
      </c>
    </row>
    <row r="13" spans="1:6" x14ac:dyDescent="0.25">
      <c r="A13" t="s">
        <v>2197</v>
      </c>
      <c r="B13" t="s">
        <v>1027</v>
      </c>
      <c r="C13" s="16">
        <v>5.4749999999999996</v>
      </c>
      <c r="D13" s="16">
        <v>5.3170000000000002</v>
      </c>
      <c r="E13" s="3">
        <v>3.907</v>
      </c>
      <c r="F13" s="1" t="str">
        <f>HYPERLINK("http://www.ncbi.nlm.nih.gov/pubmed/?term=Vegfa","Vegfa")</f>
        <v>Vegfa</v>
      </c>
    </row>
    <row r="14" spans="1:6" x14ac:dyDescent="0.25">
      <c r="A14" t="s">
        <v>243</v>
      </c>
      <c r="B14" t="s">
        <v>659</v>
      </c>
      <c r="C14" s="43">
        <v>6.2309999999999999</v>
      </c>
      <c r="D14" s="22">
        <v>3.367</v>
      </c>
      <c r="E14" s="26">
        <v>-0.86029999999999995</v>
      </c>
      <c r="F14" s="1" t="str">
        <f>HYPERLINK("http://www.ncbi.nlm.nih.gov/pubmed/?term=Mmp2","Mmp2")</f>
        <v>Mmp2</v>
      </c>
    </row>
    <row r="15" spans="1:6" x14ac:dyDescent="0.25">
      <c r="A15" t="s">
        <v>133</v>
      </c>
      <c r="B15" t="s">
        <v>1453</v>
      </c>
      <c r="C15" s="16">
        <v>4.9180000000000001</v>
      </c>
      <c r="D15" s="16">
        <v>4.5679999999999996</v>
      </c>
      <c r="E15" s="43">
        <v>5.891</v>
      </c>
      <c r="F15" s="1" t="str">
        <f>HYPERLINK("http://www.ncbi.nlm.nih.gov/pubmed/?term=Mdm2","Mdm2")</f>
        <v>Mdm2</v>
      </c>
    </row>
    <row r="16" spans="1:6" x14ac:dyDescent="0.25">
      <c r="A16" t="s">
        <v>159</v>
      </c>
      <c r="B16" t="s">
        <v>1644</v>
      </c>
      <c r="C16" s="43">
        <v>6.5579999999999998</v>
      </c>
      <c r="D16" s="16">
        <v>4.7640000000000002</v>
      </c>
      <c r="E16" s="16">
        <v>5.4039999999999999</v>
      </c>
      <c r="F16" s="1" t="str">
        <f>HYPERLINK("http://www.ncbi.nlm.nih.gov/pubmed/?term=Map2k1","Map2k1")</f>
        <v>Map2k1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2165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1098</v>
      </c>
      <c r="B5" t="s">
        <v>929</v>
      </c>
      <c r="C5" s="26">
        <v>-4.3019999999999996</v>
      </c>
      <c r="D5" s="18">
        <v>3.4460000000000002</v>
      </c>
      <c r="E5" s="23">
        <v>2.1880000000000002</v>
      </c>
      <c r="F5" s="1" t="str">
        <f>HYPERLINK("http://www.ncbi.nlm.nih.gov/pubmed/?term=Il10","Il10")</f>
        <v>Il10</v>
      </c>
    </row>
    <row r="6" spans="1:6" x14ac:dyDescent="0.25">
      <c r="A6" t="s">
        <v>1212</v>
      </c>
      <c r="B6" t="s">
        <v>1935</v>
      </c>
      <c r="C6" s="26">
        <v>-0.58730000000000004</v>
      </c>
      <c r="D6" s="45">
        <v>6.1760000000000002</v>
      </c>
      <c r="E6" s="18">
        <v>2.665</v>
      </c>
      <c r="F6" s="1" t="str">
        <f>HYPERLINK("http://www.ncbi.nlm.nih.gov/pubmed/?term=Plcb2","Plcb2")</f>
        <v>Plcb2</v>
      </c>
    </row>
    <row r="7" spans="1:6" x14ac:dyDescent="0.25">
      <c r="A7" t="s">
        <v>2116</v>
      </c>
      <c r="B7" t="s">
        <v>680</v>
      </c>
      <c r="C7" s="23">
        <v>2.4</v>
      </c>
      <c r="D7" s="33">
        <v>4.7569999999999997</v>
      </c>
      <c r="E7" s="45">
        <v>5.8840000000000003</v>
      </c>
      <c r="F7" s="1" t="str">
        <f>HYPERLINK("http://www.ncbi.nlm.nih.gov/pubmed/?term=F2rl1","F2rl1")</f>
        <v>F2rl1</v>
      </c>
    </row>
    <row r="8" spans="1:6" x14ac:dyDescent="0.25">
      <c r="A8" t="s">
        <v>656</v>
      </c>
      <c r="B8" t="s">
        <v>1049</v>
      </c>
      <c r="C8" s="26">
        <v>-1.929</v>
      </c>
      <c r="D8" s="13">
        <v>0.65049999999999997</v>
      </c>
      <c r="E8" s="22">
        <v>4.242</v>
      </c>
      <c r="F8" s="1" t="str">
        <f>HYPERLINK("http://www.ncbi.nlm.nih.gov/pubmed/?term=Tnf","Tnf")</f>
        <v>Tnf</v>
      </c>
    </row>
    <row r="9" spans="1:6" x14ac:dyDescent="0.25">
      <c r="A9" t="s">
        <v>986</v>
      </c>
      <c r="B9" t="s">
        <v>2073</v>
      </c>
      <c r="C9" s="23">
        <v>2.4039999999999999</v>
      </c>
      <c r="D9" s="22">
        <v>4.0590000000000002</v>
      </c>
      <c r="E9" s="45">
        <v>6.069</v>
      </c>
      <c r="F9" s="1" t="str">
        <f>HYPERLINK("http://www.ncbi.nlm.nih.gov/pubmed/?term=Fas","Fas")</f>
        <v>Fas</v>
      </c>
    </row>
    <row r="10" spans="1:6" x14ac:dyDescent="0.25">
      <c r="A10" t="s">
        <v>391</v>
      </c>
      <c r="B10" t="s">
        <v>558</v>
      </c>
      <c r="C10" s="26">
        <v>-2.9940000000000002</v>
      </c>
      <c r="D10" s="26">
        <v>-4.1790000000000001E-2</v>
      </c>
      <c r="E10" s="45">
        <v>6.1180000000000003</v>
      </c>
      <c r="F10" s="1" t="str">
        <f>HYPERLINK("http://www.ncbi.nlm.nih.gov/pubmed/?term=Il12a","Il12a")</f>
        <v>Il12a</v>
      </c>
    </row>
    <row r="11" spans="1:6" x14ac:dyDescent="0.25">
      <c r="A11" t="s">
        <v>840</v>
      </c>
      <c r="B11" t="s">
        <v>1445</v>
      </c>
      <c r="C11" s="26">
        <v>-4.0460000000000003</v>
      </c>
      <c r="D11" s="26">
        <v>-8.2879999999999995E-2</v>
      </c>
      <c r="E11" s="33">
        <v>4.6589999999999998</v>
      </c>
      <c r="F11" s="1" t="str">
        <f>HYPERLINK("http://www.ncbi.nlm.nih.gov/pubmed/?term=Tlr9","Tlr9")</f>
        <v>Tlr9</v>
      </c>
    </row>
    <row r="12" spans="1:6" x14ac:dyDescent="0.25">
      <c r="A12" t="s">
        <v>961</v>
      </c>
      <c r="B12" t="s">
        <v>51</v>
      </c>
      <c r="C12" s="22">
        <v>4.2140000000000004</v>
      </c>
      <c r="D12" s="22">
        <v>3.5419999999999998</v>
      </c>
      <c r="E12" s="23">
        <v>2.4350000000000001</v>
      </c>
      <c r="F12" s="1" t="str">
        <f>HYPERLINK("http://www.ncbi.nlm.nih.gov/pubmed/?term=Lama4","Lama4")</f>
        <v>Lama4</v>
      </c>
    </row>
    <row r="13" spans="1:6" x14ac:dyDescent="0.25">
      <c r="A13" t="s">
        <v>49</v>
      </c>
      <c r="B13" t="s">
        <v>1564</v>
      </c>
      <c r="C13" s="33">
        <v>4.6529999999999996</v>
      </c>
      <c r="D13" s="22">
        <v>3.782</v>
      </c>
      <c r="E13" s="23">
        <v>2.4590000000000001</v>
      </c>
      <c r="F13" s="1" t="str">
        <f>HYPERLINK("http://www.ncbi.nlm.nih.gov/pubmed/?term=Gnaq","Gnaq")</f>
        <v>Gnaq</v>
      </c>
    </row>
    <row r="14" spans="1:6" x14ac:dyDescent="0.25">
      <c r="A14" t="s">
        <v>546</v>
      </c>
      <c r="B14" t="s">
        <v>647</v>
      </c>
      <c r="C14" s="2">
        <v>7.0970000000000004</v>
      </c>
      <c r="D14" s="2">
        <v>6.6790000000000003</v>
      </c>
      <c r="E14" s="43">
        <v>8.57</v>
      </c>
      <c r="F14" s="1" t="str">
        <f>HYPERLINK("http://www.ncbi.nlm.nih.gov/pubmed/?term=Icam1","Icam1")</f>
        <v>Icam1</v>
      </c>
    </row>
    <row r="15" spans="1:6" x14ac:dyDescent="0.25">
      <c r="A15" t="s">
        <v>973</v>
      </c>
      <c r="B15" t="s">
        <v>1936</v>
      </c>
      <c r="C15" s="33">
        <v>4.9489999999999998</v>
      </c>
      <c r="D15" s="22">
        <v>4.2130000000000001</v>
      </c>
      <c r="E15" s="45">
        <v>5.6050000000000004</v>
      </c>
      <c r="F15" s="1" t="str">
        <f>HYPERLINK("http://www.ncbi.nlm.nih.gov/pubmed/?term=Plcb4","Plcb4")</f>
        <v>Plcb4</v>
      </c>
    </row>
    <row r="16" spans="1:6" x14ac:dyDescent="0.25">
      <c r="A16" t="s">
        <v>1880</v>
      </c>
      <c r="B16" t="s">
        <v>1077</v>
      </c>
      <c r="C16" s="22">
        <v>3.6549999999999998</v>
      </c>
      <c r="D16" s="18">
        <v>3.3140000000000001</v>
      </c>
      <c r="E16" s="45">
        <v>6.2270000000000003</v>
      </c>
      <c r="F16" s="1" t="str">
        <f>HYPERLINK("http://www.ncbi.nlm.nih.gov/pubmed/?term=Prkca","Prkca")</f>
        <v>Prkca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228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800</v>
      </c>
      <c r="B5" t="s">
        <v>1195</v>
      </c>
      <c r="C5" s="16">
        <v>4.9480000000000004</v>
      </c>
      <c r="D5" s="43">
        <v>5.8979999999999997</v>
      </c>
      <c r="E5" s="16">
        <v>5.4340000000000002</v>
      </c>
      <c r="F5" s="1" t="str">
        <f>HYPERLINK("http://www.ncbi.nlm.nih.gov/pubmed/?term=Ggt5","Ggt5")</f>
        <v>Ggt5</v>
      </c>
    </row>
    <row r="6" spans="1:6" x14ac:dyDescent="0.25">
      <c r="A6" t="s">
        <v>1386</v>
      </c>
      <c r="B6" t="s">
        <v>496</v>
      </c>
      <c r="C6" s="22">
        <v>3.278</v>
      </c>
      <c r="D6" s="16">
        <v>4.6180000000000003</v>
      </c>
      <c r="E6" s="3">
        <v>3.6360000000000001</v>
      </c>
      <c r="F6" s="1" t="str">
        <f>HYPERLINK("http://www.ncbi.nlm.nih.gov/pubmed/?term=Oplah","Oplah")</f>
        <v>Oplah</v>
      </c>
    </row>
    <row r="7" spans="1:6" x14ac:dyDescent="0.25">
      <c r="A7" t="s">
        <v>2193</v>
      </c>
      <c r="B7" t="s">
        <v>2082</v>
      </c>
      <c r="C7" s="21">
        <v>0.93149999999999999</v>
      </c>
      <c r="D7" s="3">
        <v>4.3369999999999997</v>
      </c>
      <c r="E7" s="21">
        <v>1.488</v>
      </c>
      <c r="F7" s="1" t="str">
        <f>HYPERLINK("http://www.ncbi.nlm.nih.gov/pubmed/?term=Gsto1","Gsto1")</f>
        <v>Gsto1</v>
      </c>
    </row>
    <row r="8" spans="1:6" x14ac:dyDescent="0.25">
      <c r="A8" t="s">
        <v>1881</v>
      </c>
      <c r="B8" t="s">
        <v>2157</v>
      </c>
      <c r="C8" s="22">
        <v>3.1040000000000001</v>
      </c>
      <c r="D8" s="3">
        <v>4.5</v>
      </c>
      <c r="E8" s="3">
        <v>4.1159999999999997</v>
      </c>
      <c r="F8" s="1" t="str">
        <f>HYPERLINK("http://www.ncbi.nlm.nih.gov/pubmed/?term=Gclc","Gclc")</f>
        <v>Gclc</v>
      </c>
    </row>
    <row r="9" spans="1:6" x14ac:dyDescent="0.25">
      <c r="A9" t="s">
        <v>1679</v>
      </c>
      <c r="B9" t="s">
        <v>532</v>
      </c>
      <c r="C9" s="21">
        <v>0.77590000000000003</v>
      </c>
      <c r="D9" s="22">
        <v>3.3250000000000002</v>
      </c>
      <c r="E9" s="21">
        <v>1.339</v>
      </c>
      <c r="F9" s="1" t="str">
        <f>HYPERLINK("http://www.ncbi.nlm.nih.gov/pubmed/?term=Ggt6","Ggt6")</f>
        <v>Ggt6</v>
      </c>
    </row>
    <row r="10" spans="1:6" x14ac:dyDescent="0.25">
      <c r="A10" t="s">
        <v>1983</v>
      </c>
      <c r="B10" t="s">
        <v>1720</v>
      </c>
      <c r="C10" s="22">
        <v>2.8780000000000001</v>
      </c>
      <c r="D10" s="16">
        <v>4.7939999999999996</v>
      </c>
      <c r="E10" s="16">
        <v>5.2030000000000003</v>
      </c>
      <c r="F10" s="1" t="str">
        <f>HYPERLINK("http://www.ncbi.nlm.nih.gov/pubmed/?term=Mgst3","Mgst3")</f>
        <v>Mgst3</v>
      </c>
    </row>
    <row r="11" spans="1:6" x14ac:dyDescent="0.25">
      <c r="A11" t="s">
        <v>28</v>
      </c>
      <c r="B11" t="s">
        <v>2101</v>
      </c>
      <c r="C11" s="16">
        <v>4.681</v>
      </c>
      <c r="D11" s="22">
        <v>3.2810000000000001</v>
      </c>
      <c r="E11" s="26">
        <v>-1.7470000000000001</v>
      </c>
      <c r="F11" s="1" t="str">
        <f>HYPERLINK("http://www.ncbi.nlm.nih.gov/pubmed/?term=Gpx8","Gpx8")</f>
        <v>Gpx8</v>
      </c>
    </row>
    <row r="12" spans="1:6" x14ac:dyDescent="0.25">
      <c r="A12" t="s">
        <v>636</v>
      </c>
      <c r="B12" t="s">
        <v>2154</v>
      </c>
      <c r="C12" s="16">
        <v>4.7670000000000003</v>
      </c>
      <c r="D12" s="3">
        <v>3.81</v>
      </c>
      <c r="E12" s="3">
        <v>3.7829999999999999</v>
      </c>
      <c r="F12" s="1" t="str">
        <f>HYPERLINK("http://www.ncbi.nlm.nih.gov/pubmed/?term=Gclm","Gclm")</f>
        <v>Gclm</v>
      </c>
    </row>
    <row r="13" spans="1:6" x14ac:dyDescent="0.25">
      <c r="A13" t="s">
        <v>1742</v>
      </c>
      <c r="B13" t="s">
        <v>527</v>
      </c>
      <c r="C13" s="43">
        <v>6.5839999999999996</v>
      </c>
      <c r="D13" s="16">
        <v>4.9039999999999999</v>
      </c>
      <c r="E13" s="3">
        <v>3.8519999999999999</v>
      </c>
      <c r="F13" s="1" t="str">
        <f>HYPERLINK("http://www.ncbi.nlm.nih.gov/pubmed/?term=Gsta4","Gsta4")</f>
        <v>Gsta4</v>
      </c>
    </row>
    <row r="14" spans="1:6" x14ac:dyDescent="0.25">
      <c r="A14" t="s">
        <v>715</v>
      </c>
      <c r="B14" t="s">
        <v>165</v>
      </c>
      <c r="C14" s="16">
        <v>4.8449999999999998</v>
      </c>
      <c r="D14" s="22">
        <v>2.871</v>
      </c>
      <c r="E14" s="26">
        <v>0.44209999999999999</v>
      </c>
      <c r="F14" s="1" t="str">
        <f>HYPERLINK("http://www.ncbi.nlm.nih.gov/pubmed/?term=Gstm2","Gstm2")</f>
        <v>Gstm2</v>
      </c>
    </row>
    <row r="15" spans="1:6" x14ac:dyDescent="0.25">
      <c r="A15" t="s">
        <v>1683</v>
      </c>
      <c r="B15" t="s">
        <v>1969</v>
      </c>
      <c r="C15" s="16">
        <v>5.1020000000000003</v>
      </c>
      <c r="D15" s="3">
        <v>3.6949999999999998</v>
      </c>
      <c r="E15" s="3">
        <v>4.09</v>
      </c>
      <c r="F15" s="1" t="str">
        <f>HYPERLINK("http://www.ncbi.nlm.nih.gov/pubmed/?term=Srm","Srm")</f>
        <v>Srm</v>
      </c>
    </row>
    <row r="16" spans="1:6" x14ac:dyDescent="0.25">
      <c r="A16" t="s">
        <v>320</v>
      </c>
      <c r="B16" t="s">
        <v>1846</v>
      </c>
      <c r="C16" s="16">
        <v>4.6189999999999998</v>
      </c>
      <c r="D16" s="22">
        <v>3.339</v>
      </c>
      <c r="E16" s="3">
        <v>4.0490000000000004</v>
      </c>
      <c r="F16" s="1" t="str">
        <f>HYPERLINK("http://www.ncbi.nlm.nih.gov/pubmed/?term=Rrm2","Rrm2")</f>
        <v>Rrm2</v>
      </c>
    </row>
    <row r="17" spans="1:6" x14ac:dyDescent="0.25">
      <c r="A17" t="s">
        <v>35</v>
      </c>
      <c r="B17" t="s">
        <v>699</v>
      </c>
      <c r="C17" s="3">
        <v>4.32</v>
      </c>
      <c r="D17" s="22">
        <v>3.1509999999999998</v>
      </c>
      <c r="E17" s="3">
        <v>3.8479999999999999</v>
      </c>
      <c r="F17" s="1" t="str">
        <f>HYPERLINK("http://www.ncbi.nlm.nih.gov/pubmed/?term=Gstt2","Gstt2")</f>
        <v>Gstt2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2003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127</v>
      </c>
      <c r="B5" t="s">
        <v>1483</v>
      </c>
      <c r="C5" s="48">
        <v>2.0920000000000001</v>
      </c>
      <c r="D5" s="48">
        <v>2.2069999999999999</v>
      </c>
      <c r="E5" s="24">
        <v>4.4569999999999999</v>
      </c>
      <c r="F5" s="1" t="str">
        <f>HYPERLINK("http://www.ncbi.nlm.nih.gov/pubmed/?term=Acss2","Acss2")</f>
        <v>Acss2</v>
      </c>
    </row>
    <row r="6" spans="1:6" x14ac:dyDescent="0.25">
      <c r="A6" t="s">
        <v>635</v>
      </c>
      <c r="B6" t="s">
        <v>942</v>
      </c>
      <c r="C6" s="26">
        <v>-2.0369999999999999</v>
      </c>
      <c r="D6" s="25">
        <v>3.0670000000000002</v>
      </c>
      <c r="E6" s="43">
        <v>5.0910000000000002</v>
      </c>
      <c r="F6" s="1" t="str">
        <f>HYPERLINK("http://www.ncbi.nlm.nih.gov/pubmed/?term=Acacb","Acacb")</f>
        <v>Acacb</v>
      </c>
    </row>
    <row r="7" spans="1:6" x14ac:dyDescent="0.25">
      <c r="A7" t="s">
        <v>1248</v>
      </c>
      <c r="B7" t="s">
        <v>2158</v>
      </c>
      <c r="C7" s="43">
        <v>5.4740000000000002</v>
      </c>
      <c r="D7" s="43">
        <v>6.3890000000000002</v>
      </c>
      <c r="E7" s="24">
        <v>3.6019999999999999</v>
      </c>
      <c r="F7" s="1" t="str">
        <f>HYPERLINK("http://www.ncbi.nlm.nih.gov/pubmed/?term=Aldh2","Aldh2")</f>
        <v>Aldh2</v>
      </c>
    </row>
    <row r="8" spans="1:6" x14ac:dyDescent="0.25">
      <c r="A8" t="s">
        <v>683</v>
      </c>
      <c r="B8" t="s">
        <v>1793</v>
      </c>
      <c r="C8" s="43">
        <v>6.4889999999999999</v>
      </c>
      <c r="D8" s="43">
        <v>6.3239999999999998</v>
      </c>
      <c r="E8" s="43">
        <v>5.26</v>
      </c>
      <c r="F8" s="1" t="str">
        <f>HYPERLINK("http://www.ncbi.nlm.nih.gov/pubmed/?term=Aldh3a2","Aldh3a2")</f>
        <v>Aldh3a2</v>
      </c>
    </row>
    <row r="9" spans="1:6" x14ac:dyDescent="0.25">
      <c r="A9" t="s">
        <v>1970</v>
      </c>
      <c r="B9" t="s">
        <v>1799</v>
      </c>
      <c r="C9" s="24">
        <v>4.4329999999999998</v>
      </c>
      <c r="D9" s="25">
        <v>2.7869999999999999</v>
      </c>
      <c r="E9" s="12">
        <v>1.194</v>
      </c>
      <c r="F9" s="1" t="str">
        <f>HYPERLINK("http://www.ncbi.nlm.nih.gov/pubmed/?term=Aldh6a1","Aldh6a1")</f>
        <v>Aldh6a1</v>
      </c>
    </row>
    <row r="10" spans="1:6" x14ac:dyDescent="0.25">
      <c r="A10" t="s">
        <v>476</v>
      </c>
      <c r="B10" t="s">
        <v>2194</v>
      </c>
      <c r="C10" s="43">
        <v>5.8730000000000002</v>
      </c>
      <c r="D10" s="24">
        <v>4.1980000000000004</v>
      </c>
      <c r="E10" s="25">
        <v>3.476</v>
      </c>
      <c r="F10" s="1" t="str">
        <f>HYPERLINK("http://www.ncbi.nlm.nih.gov/pubmed/?term=Aldh7a1","Aldh7a1")</f>
        <v>Aldh7a1</v>
      </c>
    </row>
    <row r="11" spans="1:6" x14ac:dyDescent="0.25">
      <c r="A11" t="s">
        <v>1092</v>
      </c>
      <c r="B11" t="s">
        <v>1274</v>
      </c>
      <c r="C11" s="24">
        <v>4.2699999999999996</v>
      </c>
      <c r="D11" s="25">
        <v>2.7080000000000002</v>
      </c>
      <c r="E11" s="25">
        <v>2.843</v>
      </c>
      <c r="F11" s="1" t="str">
        <f>HYPERLINK("http://www.ncbi.nlm.nih.gov/pubmed/?term=Mut","Mut")</f>
        <v>Mut</v>
      </c>
    </row>
    <row r="12" spans="1:6" x14ac:dyDescent="0.25">
      <c r="A12" t="s">
        <v>1091</v>
      </c>
      <c r="B12" t="s">
        <v>226</v>
      </c>
      <c r="C12" s="43">
        <v>6.09</v>
      </c>
      <c r="D12" s="43">
        <v>4.8970000000000002</v>
      </c>
      <c r="E12" s="43">
        <v>5.56</v>
      </c>
      <c r="F12" s="1" t="str">
        <f>HYPERLINK("http://www.ncbi.nlm.nih.gov/pubmed/?term=Hadha","Hadha")</f>
        <v>Hadha</v>
      </c>
    </row>
    <row r="13" spans="1:6" x14ac:dyDescent="0.25">
      <c r="A13" t="s">
        <v>1979</v>
      </c>
      <c r="B13" t="s">
        <v>1316</v>
      </c>
      <c r="C13" s="43">
        <v>5.0529999999999999</v>
      </c>
      <c r="D13" s="24">
        <v>3.5739999999999998</v>
      </c>
      <c r="E13" s="24">
        <v>3.59</v>
      </c>
      <c r="F13" s="1" t="str">
        <f>HYPERLINK("http://www.ncbi.nlm.nih.gov/pubmed/?term=Aldh9a1","Aldh9a1")</f>
        <v>Aldh9a1</v>
      </c>
    </row>
    <row r="14" spans="1:6" x14ac:dyDescent="0.25">
      <c r="A14" t="s">
        <v>1366</v>
      </c>
      <c r="B14" t="s">
        <v>97</v>
      </c>
      <c r="C14" s="43">
        <v>5.3230000000000004</v>
      </c>
      <c r="D14" s="24">
        <v>3.5150000000000001</v>
      </c>
      <c r="E14" s="43">
        <v>4.758</v>
      </c>
      <c r="F14" s="1" t="str">
        <f>HYPERLINK("http://www.ncbi.nlm.nih.gov/pubmed/?term=Acat1","Acat1")</f>
        <v>Acat1</v>
      </c>
    </row>
    <row r="15" spans="1:6" x14ac:dyDescent="0.25">
      <c r="A15" t="s">
        <v>1760</v>
      </c>
      <c r="B15" t="s">
        <v>1822</v>
      </c>
      <c r="C15" s="43">
        <v>5.58</v>
      </c>
      <c r="D15" s="24">
        <v>4.1669999999999998</v>
      </c>
      <c r="E15" s="43">
        <v>4.5670000000000002</v>
      </c>
      <c r="F15" s="1" t="str">
        <f>HYPERLINK("http://www.ncbi.nlm.nih.gov/pubmed/?term=Pccb","Pccb")</f>
        <v>Pccb</v>
      </c>
    </row>
    <row r="16" spans="1:6" x14ac:dyDescent="0.25">
      <c r="A16" t="s">
        <v>1107</v>
      </c>
      <c r="B16" t="s">
        <v>2182</v>
      </c>
      <c r="C16" s="43">
        <v>6.431</v>
      </c>
      <c r="D16" s="43">
        <v>5.0949999999999998</v>
      </c>
      <c r="E16" s="43">
        <v>6.1050000000000004</v>
      </c>
      <c r="F16" s="1" t="str">
        <f>HYPERLINK("http://www.ncbi.nlm.nih.gov/pubmed/?term=Suclg1","Suclg1")</f>
        <v>Suclg1</v>
      </c>
    </row>
    <row r="17" spans="1:6" x14ac:dyDescent="0.25">
      <c r="A17" t="s">
        <v>404</v>
      </c>
      <c r="B17" t="s">
        <v>639</v>
      </c>
      <c r="C17" s="43">
        <v>5.915</v>
      </c>
      <c r="D17" s="26">
        <v>-0.83660000000000001</v>
      </c>
      <c r="E17" s="26">
        <v>-0.36659999999999998</v>
      </c>
      <c r="F17" s="1" t="str">
        <f>HYPERLINK("http://www.ncbi.nlm.nih.gov/pubmed/?term=Abat","Abat")</f>
        <v>Abat</v>
      </c>
    </row>
    <row r="18" spans="1:6" x14ac:dyDescent="0.25">
      <c r="A18" t="s">
        <v>147</v>
      </c>
      <c r="B18" t="s">
        <v>2181</v>
      </c>
      <c r="C18" s="43">
        <v>4.6680000000000001</v>
      </c>
      <c r="D18" s="24">
        <v>3.532</v>
      </c>
      <c r="E18" s="24">
        <v>3.7669999999999999</v>
      </c>
      <c r="F18" s="1" t="str">
        <f>HYPERLINK("http://www.ncbi.nlm.nih.gov/pubmed/?term=Suclg2","Suclg2")</f>
        <v>Suclg2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139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37">
        <v>2.2389999999999999</v>
      </c>
      <c r="D5" s="9">
        <v>7.0960000000000001</v>
      </c>
      <c r="E5" s="19">
        <v>5.49</v>
      </c>
      <c r="F5" s="1" t="str">
        <f>HYPERLINK("http://www.ncbi.nlm.nih.gov/pubmed/?term=Mapk13","Mapk13")</f>
        <v>Mapk13</v>
      </c>
    </row>
    <row r="6" spans="1:6" x14ac:dyDescent="0.25">
      <c r="A6" t="s">
        <v>1146</v>
      </c>
      <c r="B6" t="s">
        <v>1164</v>
      </c>
      <c r="C6" s="39">
        <v>7.7949999999999999</v>
      </c>
      <c r="D6" s="39">
        <v>8.4410000000000007</v>
      </c>
      <c r="E6" s="43">
        <v>9.6780000000000008</v>
      </c>
      <c r="F6" s="1" t="str">
        <f>HYPERLINK("http://www.ncbi.nlm.nih.gov/pubmed/?term=Hsp90b1","Hsp90b1")</f>
        <v>Hsp90b1</v>
      </c>
    </row>
    <row r="7" spans="1:6" x14ac:dyDescent="0.25">
      <c r="A7" t="s">
        <v>656</v>
      </c>
      <c r="B7" t="s">
        <v>1049</v>
      </c>
      <c r="C7" s="26">
        <v>-1.929</v>
      </c>
      <c r="D7" s="8">
        <v>0.65049999999999997</v>
      </c>
      <c r="E7" s="15">
        <v>4.242</v>
      </c>
      <c r="F7" s="1" t="str">
        <f>HYPERLINK("http://www.ncbi.nlm.nih.gov/pubmed/?term=Tnf","Tnf")</f>
        <v>Tnf</v>
      </c>
    </row>
    <row r="8" spans="1:6" x14ac:dyDescent="0.25">
      <c r="A8" t="s">
        <v>918</v>
      </c>
      <c r="B8" t="s">
        <v>2032</v>
      </c>
      <c r="C8" s="41">
        <v>2.6869999999999998</v>
      </c>
      <c r="D8" s="19">
        <v>4.8470000000000004</v>
      </c>
      <c r="E8" s="3">
        <v>6.4870000000000001</v>
      </c>
      <c r="F8" s="1" t="str">
        <f>HYPERLINK("http://www.ncbi.nlm.nih.gov/pubmed/?term=Casp1","Casp1")</f>
        <v>Casp1</v>
      </c>
    </row>
    <row r="9" spans="1:6" x14ac:dyDescent="0.25">
      <c r="A9" t="s">
        <v>1352</v>
      </c>
      <c r="B9" t="s">
        <v>2160</v>
      </c>
      <c r="C9" s="19">
        <v>4.5460000000000003</v>
      </c>
      <c r="D9" s="19">
        <v>4.9820000000000002</v>
      </c>
      <c r="E9" s="3">
        <v>6.2560000000000002</v>
      </c>
      <c r="F9" s="1" t="str">
        <f>HYPERLINK("http://www.ncbi.nlm.nih.gov/pubmed/?term=Ikbkb","Ikbkb")</f>
        <v>Ikbkb</v>
      </c>
    </row>
    <row r="10" spans="1:6" x14ac:dyDescent="0.25">
      <c r="A10" t="s">
        <v>2042</v>
      </c>
      <c r="B10" t="s">
        <v>1233</v>
      </c>
      <c r="C10" s="3">
        <v>5.5170000000000003</v>
      </c>
      <c r="D10" s="3">
        <v>5.56</v>
      </c>
      <c r="E10" s="9">
        <v>7.3120000000000003</v>
      </c>
      <c r="F10" s="1" t="str">
        <f>HYPERLINK("http://www.ncbi.nlm.nih.gov/pubmed/?term=Birc3","Birc3")</f>
        <v>Birc3</v>
      </c>
    </row>
    <row r="11" spans="1:6" x14ac:dyDescent="0.25">
      <c r="A11" t="s">
        <v>22</v>
      </c>
      <c r="B11" t="s">
        <v>1430</v>
      </c>
      <c r="C11" s="41">
        <v>2.6739999999999999</v>
      </c>
      <c r="D11" s="41">
        <v>3.2469999999999999</v>
      </c>
      <c r="E11" s="19">
        <v>5.35</v>
      </c>
      <c r="F11" s="1" t="str">
        <f>HYPERLINK("http://www.ncbi.nlm.nih.gov/pubmed/?term=Ccl5","Ccl5")</f>
        <v>Ccl5</v>
      </c>
    </row>
    <row r="12" spans="1:6" x14ac:dyDescent="0.25">
      <c r="A12" t="s">
        <v>194</v>
      </c>
      <c r="B12" t="s">
        <v>1900</v>
      </c>
      <c r="C12" s="37">
        <v>2.0819999999999999</v>
      </c>
      <c r="D12" s="41">
        <v>2.8410000000000002</v>
      </c>
      <c r="E12" s="41">
        <v>3.4369999999999998</v>
      </c>
      <c r="F12" s="1" t="str">
        <f>HYPERLINK("http://www.ncbi.nlm.nih.gov/pubmed/?term=Ripk2","Ripk2")</f>
        <v>Ripk2</v>
      </c>
    </row>
    <row r="13" spans="1:6" x14ac:dyDescent="0.25">
      <c r="A13" t="s">
        <v>859</v>
      </c>
      <c r="B13" t="s">
        <v>397</v>
      </c>
      <c r="C13" s="26">
        <v>-1.2170000000000001</v>
      </c>
      <c r="D13" s="37">
        <v>2.4129999999999998</v>
      </c>
      <c r="E13" s="19">
        <v>4.5259999999999998</v>
      </c>
      <c r="F13" s="1" t="str">
        <f>HYPERLINK("http://www.ncbi.nlm.nih.gov/pubmed/?term=Cxcl2","Cxcl2")</f>
        <v>Cxcl2</v>
      </c>
    </row>
    <row r="14" spans="1:6" x14ac:dyDescent="0.25">
      <c r="A14" t="s">
        <v>1161</v>
      </c>
      <c r="B14" t="s">
        <v>1278</v>
      </c>
      <c r="C14" s="26">
        <v>-2.835</v>
      </c>
      <c r="D14" s="8">
        <v>1.044</v>
      </c>
      <c r="E14" s="15">
        <v>4.12</v>
      </c>
      <c r="F14" s="1" t="str">
        <f>HYPERLINK("http://www.ncbi.nlm.nih.gov/pubmed/?term=Naip2","Naip2")</f>
        <v>Naip2</v>
      </c>
    </row>
    <row r="15" spans="1:6" x14ac:dyDescent="0.25">
      <c r="A15" t="s">
        <v>174</v>
      </c>
      <c r="B15" t="s">
        <v>1781</v>
      </c>
      <c r="C15" s="19">
        <v>5.423</v>
      </c>
      <c r="D15" s="3">
        <v>5.7480000000000002</v>
      </c>
      <c r="E15" s="15">
        <v>3.5529999999999999</v>
      </c>
      <c r="F15" s="1" t="str">
        <f>HYPERLINK("http://www.ncbi.nlm.nih.gov/pubmed/?term=Tnfaip3","Tnfaip3")</f>
        <v>Tnfaip3</v>
      </c>
    </row>
    <row r="16" spans="1:6" x14ac:dyDescent="0.25">
      <c r="A16" t="s">
        <v>31</v>
      </c>
      <c r="B16" t="s">
        <v>400</v>
      </c>
      <c r="C16" s="15">
        <v>4.476</v>
      </c>
      <c r="D16" s="15">
        <v>3.5920000000000001</v>
      </c>
      <c r="E16" s="41">
        <v>3.4319999999999999</v>
      </c>
      <c r="F16" s="1" t="str">
        <f>HYPERLINK("http://www.ncbi.nlm.nih.gov/pubmed/?term=Mapk9","Mapk9")</f>
        <v>Mapk9</v>
      </c>
    </row>
    <row r="17" spans="1:6" x14ac:dyDescent="0.25">
      <c r="A17" t="s">
        <v>834</v>
      </c>
      <c r="B17" t="s">
        <v>1552</v>
      </c>
      <c r="C17" s="19">
        <v>4.516</v>
      </c>
      <c r="D17" s="15">
        <v>3.7549999999999999</v>
      </c>
      <c r="E17" s="41">
        <v>3.4649999999999999</v>
      </c>
      <c r="F17" s="1" t="str">
        <f>HYPERLINK("http://www.ncbi.nlm.nih.gov/pubmed/?term=Mapk8","Mapk8")</f>
        <v>Mapk8</v>
      </c>
    </row>
    <row r="18" spans="1:6" x14ac:dyDescent="0.25">
      <c r="A18" t="s">
        <v>1398</v>
      </c>
      <c r="B18" t="s">
        <v>36</v>
      </c>
      <c r="C18" s="15">
        <v>4.2149999999999999</v>
      </c>
      <c r="D18" s="41">
        <v>3.403</v>
      </c>
      <c r="E18" s="37">
        <v>2.5</v>
      </c>
      <c r="F18" s="1" t="str">
        <f>HYPERLINK("http://www.ncbi.nlm.nih.gov/pubmed/?term=Tab1","Tab1")</f>
        <v>Tab1</v>
      </c>
    </row>
    <row r="19" spans="1:6" x14ac:dyDescent="0.25">
      <c r="A19" t="s">
        <v>1511</v>
      </c>
      <c r="B19" t="s">
        <v>955</v>
      </c>
      <c r="C19" s="19">
        <v>4.6879999999999997</v>
      </c>
      <c r="D19" s="15">
        <v>3.681</v>
      </c>
      <c r="E19" s="41">
        <v>3.077</v>
      </c>
      <c r="F19" s="1" t="str">
        <f>HYPERLINK("http://www.ncbi.nlm.nih.gov/pubmed/?term=Trip6","Trip6")</f>
        <v>Trip6</v>
      </c>
    </row>
    <row r="20" spans="1:6" x14ac:dyDescent="0.25">
      <c r="A20" t="s">
        <v>1902</v>
      </c>
      <c r="B20" t="s">
        <v>292</v>
      </c>
      <c r="C20" s="19">
        <v>5.4859999999999998</v>
      </c>
      <c r="D20" s="19">
        <v>5.1769999999999996</v>
      </c>
      <c r="E20" s="15">
        <v>4.3440000000000003</v>
      </c>
      <c r="F20" s="1" t="str">
        <f>HYPERLINK("http://www.ncbi.nlm.nih.gov/pubmed/?term=Mapk14","Mapk14")</f>
        <v>Mapk14</v>
      </c>
    </row>
    <row r="21" spans="1:6" x14ac:dyDescent="0.25">
      <c r="A21" t="s">
        <v>355</v>
      </c>
      <c r="B21" t="s">
        <v>2021</v>
      </c>
      <c r="C21" s="15">
        <v>4.2679999999999998</v>
      </c>
      <c r="D21" s="41">
        <v>2.6389999999999998</v>
      </c>
      <c r="E21" s="8">
        <v>1.3440000000000001</v>
      </c>
      <c r="F21" s="1" t="str">
        <f>HYPERLINK("http://www.ncbi.nlm.nih.gov/pubmed/?term=Nlrp1b","Nlrp1b")</f>
        <v>Nlrp1b</v>
      </c>
    </row>
    <row r="22" spans="1:6" x14ac:dyDescent="0.25">
      <c r="A22" t="s">
        <v>1852</v>
      </c>
      <c r="B22" t="s">
        <v>1070</v>
      </c>
      <c r="C22" s="39">
        <v>7.577</v>
      </c>
      <c r="D22" s="39">
        <v>7.5250000000000004</v>
      </c>
      <c r="E22" s="43">
        <v>9.6739999999999995</v>
      </c>
      <c r="F22" s="1" t="str">
        <f>HYPERLINK("http://www.ncbi.nlm.nih.gov/pubmed/?term=Nfkbia","Nfkbia")</f>
        <v>Nfkbia</v>
      </c>
    </row>
    <row r="23" spans="1:6" x14ac:dyDescent="0.25">
      <c r="A23" t="s">
        <v>529</v>
      </c>
      <c r="B23" t="s">
        <v>1321</v>
      </c>
      <c r="C23" s="41">
        <v>3.3559999999999999</v>
      </c>
      <c r="D23" s="41">
        <v>3.198</v>
      </c>
      <c r="E23" s="19">
        <v>5.0339999999999998</v>
      </c>
      <c r="F23" s="1" t="str">
        <f>HYPERLINK("http://www.ncbi.nlm.nih.gov/pubmed/?term=Traf6","Traf6")</f>
        <v>Traf6</v>
      </c>
    </row>
    <row r="24" spans="1:6" x14ac:dyDescent="0.25">
      <c r="A24" t="s">
        <v>606</v>
      </c>
      <c r="B24" t="s">
        <v>60</v>
      </c>
      <c r="C24" s="15">
        <v>4.0289999999999999</v>
      </c>
      <c r="D24" s="41">
        <v>2.9289999999999998</v>
      </c>
      <c r="E24" s="15">
        <v>4.0720000000000001</v>
      </c>
      <c r="F24" s="1" t="str">
        <f>HYPERLINK("http://www.ncbi.nlm.nih.gov/pubmed/?term=Cxcl1","Cxcl1")</f>
        <v>Cxcl1</v>
      </c>
    </row>
    <row r="25" spans="1:6" x14ac:dyDescent="0.25">
      <c r="A25" t="s">
        <v>1675</v>
      </c>
      <c r="B25" t="s">
        <v>1069</v>
      </c>
      <c r="C25" s="19">
        <v>4.6070000000000002</v>
      </c>
      <c r="D25" s="15">
        <v>3.927</v>
      </c>
      <c r="E25" s="19">
        <v>5.1689999999999996</v>
      </c>
      <c r="F25" s="1" t="str">
        <f>HYPERLINK("http://www.ncbi.nlm.nih.gov/pubmed/?term=Nfkbib","Nfkbib")</f>
        <v>Nfkbib</v>
      </c>
    </row>
    <row r="26" spans="1:6" x14ac:dyDescent="0.25">
      <c r="A26" t="s">
        <v>427</v>
      </c>
      <c r="B26" t="s">
        <v>1234</v>
      </c>
      <c r="C26" s="19">
        <v>5.4820000000000002</v>
      </c>
      <c r="D26" s="19">
        <v>5.2619999999999996</v>
      </c>
      <c r="E26" s="3">
        <v>6.2539999999999996</v>
      </c>
      <c r="F26" s="1" t="str">
        <f>HYPERLINK("http://www.ncbi.nlm.nih.gov/pubmed/?term=Birc2","Birc2")</f>
        <v>Birc2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82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37">
        <v>2.2389999999999999</v>
      </c>
      <c r="D5" s="9">
        <v>7.0960000000000001</v>
      </c>
      <c r="E5" s="19">
        <v>5.49</v>
      </c>
      <c r="F5" s="1" t="str">
        <f>HYPERLINK("http://www.ncbi.nlm.nih.gov/pubmed/?term=Mapk13","Mapk13")</f>
        <v>Mapk13</v>
      </c>
    </row>
    <row r="6" spans="1:6" x14ac:dyDescent="0.25">
      <c r="A6" t="s">
        <v>294</v>
      </c>
      <c r="B6" t="s">
        <v>966</v>
      </c>
      <c r="C6" s="26">
        <v>-2.4009999999999998</v>
      </c>
      <c r="D6" s="15">
        <v>4.0940000000000003</v>
      </c>
      <c r="E6" s="8">
        <v>0.90300000000000002</v>
      </c>
      <c r="F6" s="1" t="str">
        <f>HYPERLINK("http://www.ncbi.nlm.nih.gov/pubmed/?term=Lbp","Lbp")</f>
        <v>Lbp</v>
      </c>
    </row>
    <row r="7" spans="1:6" x14ac:dyDescent="0.25">
      <c r="A7" t="s">
        <v>2016</v>
      </c>
      <c r="B7" t="s">
        <v>1464</v>
      </c>
      <c r="C7" s="26">
        <v>-0.25159999999999999</v>
      </c>
      <c r="D7" s="19">
        <v>4.952</v>
      </c>
      <c r="E7" s="8">
        <v>0.69540000000000002</v>
      </c>
      <c r="F7" s="1" t="str">
        <f>HYPERLINK("http://www.ncbi.nlm.nih.gov/pubmed/?term=Pik3cg","Pik3cg")</f>
        <v>Pik3cg</v>
      </c>
    </row>
    <row r="8" spans="1:6" x14ac:dyDescent="0.25">
      <c r="A8" t="s">
        <v>1335</v>
      </c>
      <c r="B8" t="s">
        <v>1328</v>
      </c>
      <c r="C8" s="8">
        <v>0.53520000000000001</v>
      </c>
      <c r="D8" s="3">
        <v>5.8090000000000002</v>
      </c>
      <c r="E8" s="41">
        <v>2.5489999999999999</v>
      </c>
      <c r="F8" s="1" t="str">
        <f>HYPERLINK("http://www.ncbi.nlm.nih.gov/pubmed/?term=Pik3r5","Pik3r5")</f>
        <v>Pik3r5</v>
      </c>
    </row>
    <row r="9" spans="1:6" x14ac:dyDescent="0.25">
      <c r="A9" t="s">
        <v>164</v>
      </c>
      <c r="B9" t="s">
        <v>2130</v>
      </c>
      <c r="C9" s="26">
        <v>-2.2599999999999998</v>
      </c>
      <c r="D9" s="26">
        <v>-1.3340000000000001</v>
      </c>
      <c r="E9" s="15">
        <v>3.8769999999999998</v>
      </c>
      <c r="F9" s="1" t="str">
        <f>HYPERLINK("http://www.ncbi.nlm.nih.gov/pubmed/?term=Cd86","Cd86")</f>
        <v>Cd86</v>
      </c>
    </row>
    <row r="10" spans="1:6" x14ac:dyDescent="0.25">
      <c r="A10" t="s">
        <v>656</v>
      </c>
      <c r="B10" t="s">
        <v>1049</v>
      </c>
      <c r="C10" s="26">
        <v>-1.929</v>
      </c>
      <c r="D10" s="8">
        <v>0.65049999999999997</v>
      </c>
      <c r="E10" s="15">
        <v>4.242</v>
      </c>
      <c r="F10" s="1" t="str">
        <f>HYPERLINK("http://www.ncbi.nlm.nih.gov/pubmed/?term=Tnf","Tnf")</f>
        <v>Tnf</v>
      </c>
    </row>
    <row r="11" spans="1:6" x14ac:dyDescent="0.25">
      <c r="A11" t="s">
        <v>391</v>
      </c>
      <c r="B11" t="s">
        <v>558</v>
      </c>
      <c r="C11" s="26">
        <v>-2.9940000000000002</v>
      </c>
      <c r="D11" s="26">
        <v>-4.1790000000000001E-2</v>
      </c>
      <c r="E11" s="3">
        <v>6.1180000000000003</v>
      </c>
      <c r="F11" s="1" t="str">
        <f>HYPERLINK("http://www.ncbi.nlm.nih.gov/pubmed/?term=Il12a","Il12a")</f>
        <v>Il12a</v>
      </c>
    </row>
    <row r="12" spans="1:6" x14ac:dyDescent="0.25">
      <c r="A12" t="s">
        <v>612</v>
      </c>
      <c r="B12" t="s">
        <v>405</v>
      </c>
      <c r="C12" s="8">
        <v>1.0640000000000001</v>
      </c>
      <c r="D12" s="15">
        <v>4.194</v>
      </c>
      <c r="E12" s="19">
        <v>4.883</v>
      </c>
      <c r="F12" s="1" t="str">
        <f>HYPERLINK("http://www.ncbi.nlm.nih.gov/pubmed/?term=Cxcl9","Cxcl9")</f>
        <v>Cxcl9</v>
      </c>
    </row>
    <row r="13" spans="1:6" x14ac:dyDescent="0.25">
      <c r="A13" t="s">
        <v>2030</v>
      </c>
      <c r="B13" t="s">
        <v>124</v>
      </c>
      <c r="C13" s="26">
        <v>0.2482</v>
      </c>
      <c r="D13" s="41">
        <v>2.782</v>
      </c>
      <c r="E13" s="3">
        <v>5.907</v>
      </c>
      <c r="F13" s="1" t="str">
        <f>HYPERLINK("http://www.ncbi.nlm.nih.gov/pubmed/?term=Irf5","Irf5")</f>
        <v>Irf5</v>
      </c>
    </row>
    <row r="14" spans="1:6" x14ac:dyDescent="0.25">
      <c r="A14" t="s">
        <v>1352</v>
      </c>
      <c r="B14" t="s">
        <v>2160</v>
      </c>
      <c r="C14" s="19">
        <v>4.5460000000000003</v>
      </c>
      <c r="D14" s="19">
        <v>4.9820000000000002</v>
      </c>
      <c r="E14" s="3">
        <v>6.2560000000000002</v>
      </c>
      <c r="F14" s="1" t="str">
        <f>HYPERLINK("http://www.ncbi.nlm.nih.gov/pubmed/?term=Ikbkb","Ikbkb")</f>
        <v>Ikbkb</v>
      </c>
    </row>
    <row r="15" spans="1:6" x14ac:dyDescent="0.25">
      <c r="A15" t="s">
        <v>333</v>
      </c>
      <c r="B15" t="s">
        <v>1460</v>
      </c>
      <c r="C15" s="26">
        <v>0.44829999999999998</v>
      </c>
      <c r="D15" s="37">
        <v>2.1360000000000001</v>
      </c>
      <c r="E15" s="15">
        <v>3.8809999999999998</v>
      </c>
      <c r="F15" s="1" t="str">
        <f>HYPERLINK("http://www.ncbi.nlm.nih.gov/pubmed/?term=Pik3cb","Pik3cb")</f>
        <v>Pik3cb</v>
      </c>
    </row>
    <row r="16" spans="1:6" x14ac:dyDescent="0.25">
      <c r="A16" t="s">
        <v>22</v>
      </c>
      <c r="B16" t="s">
        <v>1430</v>
      </c>
      <c r="C16" s="41">
        <v>2.6739999999999999</v>
      </c>
      <c r="D16" s="41">
        <v>3.2469999999999999</v>
      </c>
      <c r="E16" s="19">
        <v>5.35</v>
      </c>
      <c r="F16" s="1" t="str">
        <f>HYPERLINK("http://www.ncbi.nlm.nih.gov/pubmed/?term=Ccl5","Ccl5")</f>
        <v>Ccl5</v>
      </c>
    </row>
    <row r="17" spans="1:6" x14ac:dyDescent="0.25">
      <c r="A17" t="s">
        <v>1287</v>
      </c>
      <c r="B17" t="s">
        <v>2163</v>
      </c>
      <c r="C17" s="8">
        <v>1.2130000000000001</v>
      </c>
      <c r="D17" s="41">
        <v>3.093</v>
      </c>
      <c r="E17" s="15">
        <v>4.367</v>
      </c>
      <c r="F17" s="1" t="str">
        <f>HYPERLINK("http://www.ncbi.nlm.nih.gov/pubmed/?term=Ikbke","Ikbke")</f>
        <v>Ikbke</v>
      </c>
    </row>
    <row r="18" spans="1:6" x14ac:dyDescent="0.25">
      <c r="A18" t="s">
        <v>840</v>
      </c>
      <c r="B18" t="s">
        <v>1445</v>
      </c>
      <c r="C18" s="26">
        <v>-4.0460000000000003</v>
      </c>
      <c r="D18" s="26">
        <v>-8.2879999999999995E-2</v>
      </c>
      <c r="E18" s="19">
        <v>4.6589999999999998</v>
      </c>
      <c r="F18" s="1" t="str">
        <f>HYPERLINK("http://www.ncbi.nlm.nih.gov/pubmed/?term=Tlr9","Tlr9")</f>
        <v>Tlr9</v>
      </c>
    </row>
    <row r="19" spans="1:6" x14ac:dyDescent="0.25">
      <c r="A19" t="s">
        <v>1647</v>
      </c>
      <c r="B19" t="s">
        <v>2128</v>
      </c>
      <c r="C19" s="26">
        <v>-0.96909999999999996</v>
      </c>
      <c r="D19" s="41">
        <v>2.597</v>
      </c>
      <c r="E19" s="9">
        <v>6.5759999999999996</v>
      </c>
      <c r="F19" s="1" t="str">
        <f>HYPERLINK("http://www.ncbi.nlm.nih.gov/pubmed/?term=Cd80","Cd80")</f>
        <v>Cd80</v>
      </c>
    </row>
    <row r="20" spans="1:6" x14ac:dyDescent="0.25">
      <c r="A20" t="s">
        <v>1045</v>
      </c>
      <c r="B20" t="s">
        <v>1412</v>
      </c>
      <c r="C20" s="39">
        <v>8.2629999999999999</v>
      </c>
      <c r="D20" s="43">
        <v>8.5969999999999995</v>
      </c>
      <c r="E20" s="9">
        <v>6.7990000000000004</v>
      </c>
      <c r="F20" s="1" t="str">
        <f>HYPERLINK("http://www.ncbi.nlm.nih.gov/pubmed/?term=Fos","Fos")</f>
        <v>Fos</v>
      </c>
    </row>
    <row r="21" spans="1:6" x14ac:dyDescent="0.25">
      <c r="A21" t="s">
        <v>1326</v>
      </c>
      <c r="B21" t="s">
        <v>1699</v>
      </c>
      <c r="C21" s="15">
        <v>4.1829999999999998</v>
      </c>
      <c r="D21" s="19">
        <v>4.7720000000000002</v>
      </c>
      <c r="E21" s="15">
        <v>3.6880000000000002</v>
      </c>
      <c r="F21" s="1" t="str">
        <f>HYPERLINK("http://www.ncbi.nlm.nih.gov/pubmed/?term=Ifnar2","Ifnar2")</f>
        <v>Ifnar2</v>
      </c>
    </row>
    <row r="22" spans="1:6" x14ac:dyDescent="0.25">
      <c r="A22" t="s">
        <v>2022</v>
      </c>
      <c r="B22" t="s">
        <v>123</v>
      </c>
      <c r="C22" s="15">
        <v>4.4390000000000001</v>
      </c>
      <c r="D22" s="9">
        <v>7.2649999999999997</v>
      </c>
      <c r="E22" s="15">
        <v>3.5259999999999998</v>
      </c>
      <c r="F22" s="1" t="str">
        <f>HYPERLINK("http://www.ncbi.nlm.nih.gov/pubmed/?term=Irf7","Irf7")</f>
        <v>Irf7</v>
      </c>
    </row>
    <row r="23" spans="1:6" x14ac:dyDescent="0.25">
      <c r="A23" t="s">
        <v>1884</v>
      </c>
      <c r="B23" t="s">
        <v>2000</v>
      </c>
      <c r="C23" s="43">
        <v>8.7729999999999997</v>
      </c>
      <c r="D23" s="43">
        <v>9.0190000000000001</v>
      </c>
      <c r="E23" s="9">
        <v>7.4089999999999998</v>
      </c>
      <c r="F23" s="1" t="str">
        <f>HYPERLINK("http://www.ncbi.nlm.nih.gov/pubmed/?term=Jun","Jun")</f>
        <v>Jun</v>
      </c>
    </row>
    <row r="24" spans="1:6" x14ac:dyDescent="0.25">
      <c r="A24" t="s">
        <v>31</v>
      </c>
      <c r="B24" t="s">
        <v>400</v>
      </c>
      <c r="C24" s="15">
        <v>4.476</v>
      </c>
      <c r="D24" s="15">
        <v>3.5920000000000001</v>
      </c>
      <c r="E24" s="41">
        <v>3.4319999999999999</v>
      </c>
      <c r="F24" s="1" t="str">
        <f>HYPERLINK("http://www.ncbi.nlm.nih.gov/pubmed/?term=Mapk9","Mapk9")</f>
        <v>Mapk9</v>
      </c>
    </row>
    <row r="25" spans="1:6" x14ac:dyDescent="0.25">
      <c r="A25" t="s">
        <v>834</v>
      </c>
      <c r="B25" t="s">
        <v>1552</v>
      </c>
      <c r="C25" s="19">
        <v>4.516</v>
      </c>
      <c r="D25" s="15">
        <v>3.7549999999999999</v>
      </c>
      <c r="E25" s="41">
        <v>3.4649999999999999</v>
      </c>
      <c r="F25" s="1" t="str">
        <f>HYPERLINK("http://www.ncbi.nlm.nih.gov/pubmed/?term=Mapk8","Mapk8")</f>
        <v>Mapk8</v>
      </c>
    </row>
    <row r="26" spans="1:6" x14ac:dyDescent="0.25">
      <c r="A26" t="s">
        <v>1398</v>
      </c>
      <c r="B26" t="s">
        <v>36</v>
      </c>
      <c r="C26" s="15">
        <v>4.2149999999999999</v>
      </c>
      <c r="D26" s="41">
        <v>3.403</v>
      </c>
      <c r="E26" s="37">
        <v>2.5</v>
      </c>
      <c r="F26" s="1" t="str">
        <f>HYPERLINK("http://www.ncbi.nlm.nih.gov/pubmed/?term=Tab1","Tab1")</f>
        <v>Tab1</v>
      </c>
    </row>
    <row r="27" spans="1:6" x14ac:dyDescent="0.25">
      <c r="A27" t="s">
        <v>280</v>
      </c>
      <c r="B27" t="s">
        <v>153</v>
      </c>
      <c r="C27" s="19">
        <v>5.2679999999999998</v>
      </c>
      <c r="D27" s="15">
        <v>3.9860000000000002</v>
      </c>
      <c r="E27" s="15">
        <v>3.9350000000000001</v>
      </c>
      <c r="F27" s="1" t="str">
        <f>HYPERLINK("http://www.ncbi.nlm.nih.gov/pubmed/?term=Tollip","Tollip")</f>
        <v>Tollip</v>
      </c>
    </row>
    <row r="28" spans="1:6" x14ac:dyDescent="0.25">
      <c r="A28" t="s">
        <v>233</v>
      </c>
      <c r="B28" t="s">
        <v>1714</v>
      </c>
      <c r="C28" s="9">
        <v>6.734</v>
      </c>
      <c r="D28" s="9">
        <v>6.7110000000000003</v>
      </c>
      <c r="E28" s="19">
        <v>5.4809999999999999</v>
      </c>
      <c r="F28" s="1" t="str">
        <f>HYPERLINK("http://www.ncbi.nlm.nih.gov/pubmed/?term=Stat1","Stat1")</f>
        <v>Stat1</v>
      </c>
    </row>
    <row r="29" spans="1:6" x14ac:dyDescent="0.25">
      <c r="A29" t="s">
        <v>1205</v>
      </c>
      <c r="B29" t="s">
        <v>1329</v>
      </c>
      <c r="C29" s="3">
        <v>5.6820000000000004</v>
      </c>
      <c r="D29" s="19">
        <v>5.0220000000000002</v>
      </c>
      <c r="E29" s="19">
        <v>4.7060000000000004</v>
      </c>
      <c r="F29" s="1" t="str">
        <f>HYPERLINK("http://www.ncbi.nlm.nih.gov/pubmed/?term=Pik3r2","Pik3r2")</f>
        <v>Pik3r2</v>
      </c>
    </row>
    <row r="30" spans="1:6" x14ac:dyDescent="0.25">
      <c r="A30" t="s">
        <v>1620</v>
      </c>
      <c r="B30" t="s">
        <v>1646</v>
      </c>
      <c r="C30" s="15">
        <v>4.484</v>
      </c>
      <c r="D30" s="15">
        <v>3.6629999999999998</v>
      </c>
      <c r="E30" s="41">
        <v>2.92</v>
      </c>
      <c r="F30" s="1" t="str">
        <f>HYPERLINK("http://www.ncbi.nlm.nih.gov/pubmed/?term=Map2k4","Map2k4")</f>
        <v>Map2k4</v>
      </c>
    </row>
    <row r="31" spans="1:6" x14ac:dyDescent="0.25">
      <c r="A31" t="s">
        <v>731</v>
      </c>
      <c r="B31" t="s">
        <v>1330</v>
      </c>
      <c r="C31" s="19">
        <v>4.9180000000000001</v>
      </c>
      <c r="D31" s="19">
        <v>4.8079999999999998</v>
      </c>
      <c r="E31" s="15">
        <v>3.7410000000000001</v>
      </c>
      <c r="F31" s="1" t="str">
        <f>HYPERLINK("http://www.ncbi.nlm.nih.gov/pubmed/?term=Pik3r1","Pik3r1")</f>
        <v>Pik3r1</v>
      </c>
    </row>
    <row r="32" spans="1:6" x14ac:dyDescent="0.25">
      <c r="A32" t="s">
        <v>1902</v>
      </c>
      <c r="B32" t="s">
        <v>292</v>
      </c>
      <c r="C32" s="19">
        <v>5.4859999999999998</v>
      </c>
      <c r="D32" s="19">
        <v>5.1769999999999996</v>
      </c>
      <c r="E32" s="15">
        <v>4.3440000000000003</v>
      </c>
      <c r="F32" s="1" t="str">
        <f>HYPERLINK("http://www.ncbi.nlm.nih.gov/pubmed/?term=Mapk14","Mapk14")</f>
        <v>Mapk14</v>
      </c>
    </row>
    <row r="33" spans="1:6" x14ac:dyDescent="0.25">
      <c r="A33" t="s">
        <v>1753</v>
      </c>
      <c r="B33" t="s">
        <v>252</v>
      </c>
      <c r="C33" s="19">
        <v>4.8380000000000001</v>
      </c>
      <c r="D33" s="19">
        <v>4.8330000000000002</v>
      </c>
      <c r="E33" s="9">
        <v>7.3019999999999996</v>
      </c>
      <c r="F33" s="1" t="str">
        <f>HYPERLINK("http://www.ncbi.nlm.nih.gov/pubmed/?term=Cd40","Cd40")</f>
        <v>Cd40</v>
      </c>
    </row>
    <row r="34" spans="1:6" x14ac:dyDescent="0.25">
      <c r="A34" t="s">
        <v>1852</v>
      </c>
      <c r="B34" t="s">
        <v>1070</v>
      </c>
      <c r="C34" s="39">
        <v>7.577</v>
      </c>
      <c r="D34" s="39">
        <v>7.5250000000000004</v>
      </c>
      <c r="E34" s="43">
        <v>9.6739999999999995</v>
      </c>
      <c r="F34" s="1" t="str">
        <f>HYPERLINK("http://www.ncbi.nlm.nih.gov/pubmed/?term=Nfkbia","Nfkbia")</f>
        <v>Nfkbia</v>
      </c>
    </row>
    <row r="35" spans="1:6" x14ac:dyDescent="0.25">
      <c r="A35" t="s">
        <v>191</v>
      </c>
      <c r="B35" t="s">
        <v>592</v>
      </c>
      <c r="C35" s="41">
        <v>2.7770000000000001</v>
      </c>
      <c r="D35" s="37">
        <v>2.3420000000000001</v>
      </c>
      <c r="E35" s="15">
        <v>4.452</v>
      </c>
      <c r="F35" s="1" t="str">
        <f>HYPERLINK("http://www.ncbi.nlm.nih.gov/pubmed/?term=Map3k8","Map3k8")</f>
        <v>Map3k8</v>
      </c>
    </row>
    <row r="36" spans="1:6" x14ac:dyDescent="0.25">
      <c r="A36" t="s">
        <v>529</v>
      </c>
      <c r="B36" t="s">
        <v>1321</v>
      </c>
      <c r="C36" s="41">
        <v>3.3559999999999999</v>
      </c>
      <c r="D36" s="41">
        <v>3.198</v>
      </c>
      <c r="E36" s="19">
        <v>5.0339999999999998</v>
      </c>
      <c r="F36" s="1" t="str">
        <f>HYPERLINK("http://www.ncbi.nlm.nih.gov/pubmed/?term=Traf6","Traf6")</f>
        <v>Traf6</v>
      </c>
    </row>
    <row r="37" spans="1:6" x14ac:dyDescent="0.25">
      <c r="A37" t="s">
        <v>159</v>
      </c>
      <c r="B37" t="s">
        <v>1644</v>
      </c>
      <c r="C37" s="9">
        <v>6.5579999999999998</v>
      </c>
      <c r="D37" s="19">
        <v>4.7640000000000002</v>
      </c>
      <c r="E37" s="19">
        <v>5.4039999999999999</v>
      </c>
      <c r="F37" s="1" t="str">
        <f>HYPERLINK("http://www.ncbi.nlm.nih.gov/pubmed/?term=Map2k1","Map2k1")</f>
        <v>Map2k1</v>
      </c>
    </row>
    <row r="38" spans="1:6" x14ac:dyDescent="0.25">
      <c r="A38" t="s">
        <v>451</v>
      </c>
      <c r="B38" t="s">
        <v>982</v>
      </c>
      <c r="C38" s="43">
        <v>9.1549999999999994</v>
      </c>
      <c r="D38" s="39">
        <v>7.7859999999999996</v>
      </c>
      <c r="E38" s="43">
        <v>9.0220000000000002</v>
      </c>
      <c r="F38" s="1" t="str">
        <f>HYPERLINK("http://www.ncbi.nlm.nih.gov/pubmed/?term=Cxcl10","Cxcl10")</f>
        <v>Cxcl10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1867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340</v>
      </c>
      <c r="B5" t="s">
        <v>1533</v>
      </c>
      <c r="C5" s="15">
        <v>4.4560000000000004</v>
      </c>
      <c r="D5" s="3">
        <v>6.2370000000000001</v>
      </c>
      <c r="E5" s="19">
        <v>4.5890000000000004</v>
      </c>
      <c r="F5" s="1" t="str">
        <f>HYPERLINK("http://www.ncbi.nlm.nih.gov/pubmed/?term=Zbp1","Zbp1")</f>
        <v>Zbp1</v>
      </c>
    </row>
    <row r="6" spans="1:6" x14ac:dyDescent="0.25">
      <c r="A6" t="s">
        <v>918</v>
      </c>
      <c r="B6" t="s">
        <v>2032</v>
      </c>
      <c r="C6" s="41">
        <v>2.6869999999999998</v>
      </c>
      <c r="D6" s="19">
        <v>4.8470000000000004</v>
      </c>
      <c r="E6" s="3">
        <v>6.4870000000000001</v>
      </c>
      <c r="F6" s="1" t="str">
        <f>HYPERLINK("http://www.ncbi.nlm.nih.gov/pubmed/?term=Casp1","Casp1")</f>
        <v>Casp1</v>
      </c>
    </row>
    <row r="7" spans="1:6" x14ac:dyDescent="0.25">
      <c r="A7" t="s">
        <v>1352</v>
      </c>
      <c r="B7" t="s">
        <v>2160</v>
      </c>
      <c r="C7" s="19">
        <v>4.5460000000000003</v>
      </c>
      <c r="D7" s="19">
        <v>4.9820000000000002</v>
      </c>
      <c r="E7" s="3">
        <v>6.2560000000000002</v>
      </c>
      <c r="F7" s="1" t="str">
        <f>HYPERLINK("http://www.ncbi.nlm.nih.gov/pubmed/?term=Ikbkb","Ikbkb")</f>
        <v>Ikbkb</v>
      </c>
    </row>
    <row r="8" spans="1:6" x14ac:dyDescent="0.25">
      <c r="A8" t="s">
        <v>22</v>
      </c>
      <c r="B8" t="s">
        <v>1430</v>
      </c>
      <c r="C8" s="41">
        <v>2.6739999999999999</v>
      </c>
      <c r="D8" s="41">
        <v>3.2469999999999999</v>
      </c>
      <c r="E8" s="19">
        <v>5.35</v>
      </c>
      <c r="F8" s="1" t="str">
        <f>HYPERLINK("http://www.ncbi.nlm.nih.gov/pubmed/?term=Ccl5","Ccl5")</f>
        <v>Ccl5</v>
      </c>
    </row>
    <row r="9" spans="1:6" x14ac:dyDescent="0.25">
      <c r="A9" t="s">
        <v>1147</v>
      </c>
      <c r="B9" t="s">
        <v>1197</v>
      </c>
      <c r="C9" s="26">
        <v>0.34129999999999999</v>
      </c>
      <c r="D9" s="37">
        <v>2.1709999999999998</v>
      </c>
      <c r="E9" s="15">
        <v>3.7250000000000001</v>
      </c>
      <c r="F9" s="1" t="str">
        <f>HYPERLINK("http://www.ncbi.nlm.nih.gov/pubmed/?term=Aim2","Aim2")</f>
        <v>Aim2</v>
      </c>
    </row>
    <row r="10" spans="1:6" x14ac:dyDescent="0.25">
      <c r="A10" t="s">
        <v>1287</v>
      </c>
      <c r="B10" t="s">
        <v>2163</v>
      </c>
      <c r="C10" s="8">
        <v>1.2130000000000001</v>
      </c>
      <c r="D10" s="41">
        <v>3.093</v>
      </c>
      <c r="E10" s="15">
        <v>4.367</v>
      </c>
      <c r="F10" s="1" t="str">
        <f>HYPERLINK("http://www.ncbi.nlm.nih.gov/pubmed/?term=Ikbke","Ikbke")</f>
        <v>Ikbke</v>
      </c>
    </row>
    <row r="11" spans="1:6" x14ac:dyDescent="0.25">
      <c r="A11" t="s">
        <v>2022</v>
      </c>
      <c r="B11" t="s">
        <v>123</v>
      </c>
      <c r="C11" s="15">
        <v>4.4390000000000001</v>
      </c>
      <c r="D11" s="9">
        <v>7.2649999999999997</v>
      </c>
      <c r="E11" s="15">
        <v>3.5259999999999998</v>
      </c>
      <c r="F11" s="1" t="str">
        <f>HYPERLINK("http://www.ncbi.nlm.nih.gov/pubmed/?term=Irf7","Irf7")</f>
        <v>Irf7</v>
      </c>
    </row>
    <row r="12" spans="1:6" x14ac:dyDescent="0.25">
      <c r="A12" t="s">
        <v>1</v>
      </c>
      <c r="B12" t="s">
        <v>2055</v>
      </c>
      <c r="C12" s="41">
        <v>3.4769999999999999</v>
      </c>
      <c r="D12" s="19">
        <v>4.7960000000000003</v>
      </c>
      <c r="E12" s="37">
        <v>1.6850000000000001</v>
      </c>
      <c r="F12" s="1" t="str">
        <f>HYPERLINK("http://www.ncbi.nlm.nih.gov/pubmed/?term=Ifi202b","Ifi202b")</f>
        <v>Ifi202b</v>
      </c>
    </row>
    <row r="13" spans="1:6" x14ac:dyDescent="0.25">
      <c r="A13" t="s">
        <v>719</v>
      </c>
      <c r="B13" t="s">
        <v>1794</v>
      </c>
      <c r="C13" s="19">
        <v>5.3120000000000003</v>
      </c>
      <c r="D13" s="3">
        <v>5.5419999999999998</v>
      </c>
      <c r="E13" s="19">
        <v>4.51</v>
      </c>
      <c r="F13" s="1" t="str">
        <f>HYPERLINK("http://www.ncbi.nlm.nih.gov/pubmed/?term=Adar","Adar")</f>
        <v>Adar</v>
      </c>
    </row>
    <row r="14" spans="1:6" x14ac:dyDescent="0.25">
      <c r="A14" t="s">
        <v>575</v>
      </c>
      <c r="B14" t="s">
        <v>1686</v>
      </c>
      <c r="C14" s="19">
        <v>5.3390000000000004</v>
      </c>
      <c r="D14" s="19">
        <v>5.4109999999999996</v>
      </c>
      <c r="E14" s="37">
        <v>1.9830000000000001</v>
      </c>
      <c r="F14" s="1" t="str">
        <f>HYPERLINK("http://www.ncbi.nlm.nih.gov/pubmed/?term=Ddx58","Ddx58")</f>
        <v>Ddx58</v>
      </c>
    </row>
    <row r="15" spans="1:6" x14ac:dyDescent="0.25">
      <c r="A15" t="s">
        <v>1852</v>
      </c>
      <c r="B15" t="s">
        <v>1070</v>
      </c>
      <c r="C15" s="39">
        <v>7.577</v>
      </c>
      <c r="D15" s="39">
        <v>7.5250000000000004</v>
      </c>
      <c r="E15" s="43">
        <v>9.6739999999999995</v>
      </c>
      <c r="F15" s="1" t="str">
        <f>HYPERLINK("http://www.ncbi.nlm.nih.gov/pubmed/?term=Nfkbia","Nfkbia")</f>
        <v>Nfkbia</v>
      </c>
    </row>
    <row r="16" spans="1:6" x14ac:dyDescent="0.25">
      <c r="A16" t="s">
        <v>1675</v>
      </c>
      <c r="B16" t="s">
        <v>1069</v>
      </c>
      <c r="C16" s="19">
        <v>4.6070000000000002</v>
      </c>
      <c r="D16" s="15">
        <v>3.927</v>
      </c>
      <c r="E16" s="19">
        <v>5.1689999999999996</v>
      </c>
      <c r="F16" s="1" t="str">
        <f>HYPERLINK("http://www.ncbi.nlm.nih.gov/pubmed/?term=Nfkbib","Nfkbib")</f>
        <v>Nfkbib</v>
      </c>
    </row>
    <row r="17" spans="1:6" x14ac:dyDescent="0.25">
      <c r="A17" t="s">
        <v>451</v>
      </c>
      <c r="B17" t="s">
        <v>982</v>
      </c>
      <c r="C17" s="43">
        <v>9.1549999999999994</v>
      </c>
      <c r="D17" s="39">
        <v>7.7859999999999996</v>
      </c>
      <c r="E17" s="43">
        <v>9.0220000000000002</v>
      </c>
      <c r="F17" s="1" t="str">
        <f>HYPERLINK("http://www.ncbi.nlm.nih.gov/pubmed/?term=Cxcl10","Cxcl10")</f>
        <v>Cxcl10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1314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37">
        <v>2.2389999999999999</v>
      </c>
      <c r="D5" s="9">
        <v>7.0960000000000001</v>
      </c>
      <c r="E5" s="19">
        <v>5.49</v>
      </c>
      <c r="F5" s="1" t="str">
        <f>HYPERLINK("http://www.ncbi.nlm.nih.gov/pubmed/?term=Mapk13","Mapk13")</f>
        <v>Mapk13</v>
      </c>
    </row>
    <row r="6" spans="1:6" x14ac:dyDescent="0.25">
      <c r="A6" t="s">
        <v>2155</v>
      </c>
      <c r="B6" t="s">
        <v>754</v>
      </c>
      <c r="C6" s="41">
        <v>3.4870000000000001</v>
      </c>
      <c r="D6" s="19">
        <v>5.0199999999999996</v>
      </c>
      <c r="E6" s="15">
        <v>3.7280000000000002</v>
      </c>
      <c r="F6" s="1" t="str">
        <f>HYPERLINK("http://www.ncbi.nlm.nih.gov/pubmed/?term=Dhx58","Dhx58")</f>
        <v>Dhx58</v>
      </c>
    </row>
    <row r="7" spans="1:6" x14ac:dyDescent="0.25">
      <c r="A7" t="s">
        <v>468</v>
      </c>
      <c r="B7" t="s">
        <v>596</v>
      </c>
      <c r="C7" s="37">
        <v>2.3919999999999999</v>
      </c>
      <c r="D7" s="41">
        <v>2.726</v>
      </c>
      <c r="E7" s="19">
        <v>4.7569999999999997</v>
      </c>
      <c r="F7" s="1" t="str">
        <f>HYPERLINK("http://www.ncbi.nlm.nih.gov/pubmed/?term=Map3k1","Map3k1")</f>
        <v>Map3k1</v>
      </c>
    </row>
    <row r="8" spans="1:6" x14ac:dyDescent="0.25">
      <c r="A8" t="s">
        <v>1160</v>
      </c>
      <c r="B8" t="s">
        <v>447</v>
      </c>
      <c r="C8" s="41">
        <v>3.129</v>
      </c>
      <c r="D8" s="19">
        <v>5.476</v>
      </c>
      <c r="E8" s="3">
        <v>6.0720000000000001</v>
      </c>
      <c r="F8" s="1" t="str">
        <f>HYPERLINK("http://www.ncbi.nlm.nih.gov/pubmed/?term=Tmem173","Tmem173")</f>
        <v>Tmem173</v>
      </c>
    </row>
    <row r="9" spans="1:6" x14ac:dyDescent="0.25">
      <c r="A9" t="s">
        <v>656</v>
      </c>
      <c r="B9" t="s">
        <v>1049</v>
      </c>
      <c r="C9" s="26">
        <v>-1.929</v>
      </c>
      <c r="D9" s="8">
        <v>0.65049999999999997</v>
      </c>
      <c r="E9" s="15">
        <v>4.242</v>
      </c>
      <c r="F9" s="1" t="str">
        <f>HYPERLINK("http://www.ncbi.nlm.nih.gov/pubmed/?term=Tnf","Tnf")</f>
        <v>Tnf</v>
      </c>
    </row>
    <row r="10" spans="1:6" x14ac:dyDescent="0.25">
      <c r="A10" t="s">
        <v>577</v>
      </c>
      <c r="B10" t="s">
        <v>1318</v>
      </c>
      <c r="C10" s="15">
        <v>4.1280000000000001</v>
      </c>
      <c r="D10" s="15">
        <v>4.3479999999999999</v>
      </c>
      <c r="E10" s="19">
        <v>5.4850000000000003</v>
      </c>
      <c r="F10" s="1" t="str">
        <f>HYPERLINK("http://www.ncbi.nlm.nih.gov/pubmed/?term=Traf2","Traf2")</f>
        <v>Traf2</v>
      </c>
    </row>
    <row r="11" spans="1:6" x14ac:dyDescent="0.25">
      <c r="A11" t="s">
        <v>391</v>
      </c>
      <c r="B11" t="s">
        <v>558</v>
      </c>
      <c r="C11" s="26">
        <v>-2.9940000000000002</v>
      </c>
      <c r="D11" s="26">
        <v>-4.1790000000000001E-2</v>
      </c>
      <c r="E11" s="3">
        <v>6.1180000000000003</v>
      </c>
      <c r="F11" s="1" t="str">
        <f>HYPERLINK("http://www.ncbi.nlm.nih.gov/pubmed/?term=Il12a","Il12a")</f>
        <v>Il12a</v>
      </c>
    </row>
    <row r="12" spans="1:6" x14ac:dyDescent="0.25">
      <c r="A12" t="s">
        <v>1352</v>
      </c>
      <c r="B12" t="s">
        <v>2160</v>
      </c>
      <c r="C12" s="19">
        <v>4.5460000000000003</v>
      </c>
      <c r="D12" s="19">
        <v>4.9820000000000002</v>
      </c>
      <c r="E12" s="3">
        <v>6.2560000000000002</v>
      </c>
      <c r="F12" s="1" t="str">
        <f>HYPERLINK("http://www.ncbi.nlm.nih.gov/pubmed/?term=Ikbkb","Ikbkb")</f>
        <v>Ikbkb</v>
      </c>
    </row>
    <row r="13" spans="1:6" x14ac:dyDescent="0.25">
      <c r="A13" t="s">
        <v>1478</v>
      </c>
      <c r="B13" t="s">
        <v>738</v>
      </c>
      <c r="C13" s="8">
        <v>1.427</v>
      </c>
      <c r="D13" s="37">
        <v>2.15</v>
      </c>
      <c r="E13" s="15">
        <v>4.1769999999999996</v>
      </c>
      <c r="F13" s="1" t="str">
        <f>HYPERLINK("http://www.ncbi.nlm.nih.gov/pubmed/?term=Rnf125","Rnf125")</f>
        <v>Rnf125</v>
      </c>
    </row>
    <row r="14" spans="1:6" x14ac:dyDescent="0.25">
      <c r="A14" t="s">
        <v>861</v>
      </c>
      <c r="B14" t="s">
        <v>771</v>
      </c>
      <c r="C14" s="26">
        <v>-0.91349999999999998</v>
      </c>
      <c r="D14" s="8">
        <v>1.0569999999999999</v>
      </c>
      <c r="E14" s="41">
        <v>3.375</v>
      </c>
      <c r="F14" s="1" t="str">
        <f>HYPERLINK("http://www.ncbi.nlm.nih.gov/pubmed/?term=Tbkbp1","Tbkbp1")</f>
        <v>Tbkbp1</v>
      </c>
    </row>
    <row r="15" spans="1:6" x14ac:dyDescent="0.25">
      <c r="A15" t="s">
        <v>1287</v>
      </c>
      <c r="B15" t="s">
        <v>2163</v>
      </c>
      <c r="C15" s="8">
        <v>1.2130000000000001</v>
      </c>
      <c r="D15" s="41">
        <v>3.093</v>
      </c>
      <c r="E15" s="15">
        <v>4.367</v>
      </c>
      <c r="F15" s="1" t="str">
        <f>HYPERLINK("http://www.ncbi.nlm.nih.gov/pubmed/?term=Ikbke","Ikbke")</f>
        <v>Ikbke</v>
      </c>
    </row>
    <row r="16" spans="1:6" x14ac:dyDescent="0.25">
      <c r="A16" t="s">
        <v>1776</v>
      </c>
      <c r="B16" t="s">
        <v>661</v>
      </c>
      <c r="C16" s="15">
        <v>3.6970000000000001</v>
      </c>
      <c r="D16" s="19">
        <v>5.49</v>
      </c>
      <c r="E16" s="3">
        <v>5.9790000000000001</v>
      </c>
      <c r="F16" s="1" t="str">
        <f>HYPERLINK("http://www.ncbi.nlm.nih.gov/pubmed/?term=Tank","Tank")</f>
        <v>Tank</v>
      </c>
    </row>
    <row r="17" spans="1:6" x14ac:dyDescent="0.25">
      <c r="A17" t="s">
        <v>1937</v>
      </c>
      <c r="B17" t="s">
        <v>2171</v>
      </c>
      <c r="C17" s="19">
        <v>4.7430000000000003</v>
      </c>
      <c r="D17" s="19">
        <v>4.8559999999999999</v>
      </c>
      <c r="E17" s="15">
        <v>3.5190000000000001</v>
      </c>
      <c r="F17" s="1" t="str">
        <f>HYPERLINK("http://www.ncbi.nlm.nih.gov/pubmed/?term=Trim25","Trim25")</f>
        <v>Trim25</v>
      </c>
    </row>
    <row r="18" spans="1:6" x14ac:dyDescent="0.25">
      <c r="A18" t="s">
        <v>2022</v>
      </c>
      <c r="B18" t="s">
        <v>123</v>
      </c>
      <c r="C18" s="15">
        <v>4.4390000000000001</v>
      </c>
      <c r="D18" s="9">
        <v>7.2649999999999997</v>
      </c>
      <c r="E18" s="15">
        <v>3.5259999999999998</v>
      </c>
      <c r="F18" s="1" t="str">
        <f>HYPERLINK("http://www.ncbi.nlm.nih.gov/pubmed/?term=Irf7","Irf7")</f>
        <v>Irf7</v>
      </c>
    </row>
    <row r="19" spans="1:6" x14ac:dyDescent="0.25">
      <c r="A19" t="s">
        <v>410</v>
      </c>
      <c r="B19" t="s">
        <v>1801</v>
      </c>
      <c r="C19" s="19">
        <v>4.6349999999999998</v>
      </c>
      <c r="D19" s="19">
        <v>4.7809999999999997</v>
      </c>
      <c r="E19" s="41">
        <v>3.198</v>
      </c>
      <c r="F19" s="1" t="str">
        <f>HYPERLINK("http://www.ncbi.nlm.nih.gov/pubmed/?term=Ifih1","Ifih1")</f>
        <v>Ifih1</v>
      </c>
    </row>
    <row r="20" spans="1:6" x14ac:dyDescent="0.25">
      <c r="A20" t="s">
        <v>456</v>
      </c>
      <c r="B20" t="s">
        <v>499</v>
      </c>
      <c r="C20" s="9">
        <v>6.9160000000000004</v>
      </c>
      <c r="D20" s="9">
        <v>7.0990000000000002</v>
      </c>
      <c r="E20" s="15">
        <v>3.819</v>
      </c>
      <c r="F20" s="1" t="str">
        <f>HYPERLINK("http://www.ncbi.nlm.nih.gov/pubmed/?term=Isg15","Isg15")</f>
        <v>Isg15</v>
      </c>
    </row>
    <row r="21" spans="1:6" x14ac:dyDescent="0.25">
      <c r="A21" t="s">
        <v>575</v>
      </c>
      <c r="B21" t="s">
        <v>1686</v>
      </c>
      <c r="C21" s="19">
        <v>5.3390000000000004</v>
      </c>
      <c r="D21" s="19">
        <v>5.4109999999999996</v>
      </c>
      <c r="E21" s="37">
        <v>1.9830000000000001</v>
      </c>
      <c r="F21" s="1" t="str">
        <f>HYPERLINK("http://www.ncbi.nlm.nih.gov/pubmed/?term=Ddx58","Ddx58")</f>
        <v>Ddx58</v>
      </c>
    </row>
    <row r="22" spans="1:6" x14ac:dyDescent="0.25">
      <c r="A22" t="s">
        <v>31</v>
      </c>
      <c r="B22" t="s">
        <v>400</v>
      </c>
      <c r="C22" s="15">
        <v>4.476</v>
      </c>
      <c r="D22" s="15">
        <v>3.5920000000000001</v>
      </c>
      <c r="E22" s="41">
        <v>3.4319999999999999</v>
      </c>
      <c r="F22" s="1" t="str">
        <f>HYPERLINK("http://www.ncbi.nlm.nih.gov/pubmed/?term=Mapk9","Mapk9")</f>
        <v>Mapk9</v>
      </c>
    </row>
    <row r="23" spans="1:6" x14ac:dyDescent="0.25">
      <c r="A23" t="s">
        <v>834</v>
      </c>
      <c r="B23" t="s">
        <v>1552</v>
      </c>
      <c r="C23" s="19">
        <v>4.516</v>
      </c>
      <c r="D23" s="15">
        <v>3.7549999999999999</v>
      </c>
      <c r="E23" s="41">
        <v>3.4649999999999999</v>
      </c>
      <c r="F23" s="1" t="str">
        <f>HYPERLINK("http://www.ncbi.nlm.nih.gov/pubmed/?term=Mapk8","Mapk8")</f>
        <v>Mapk8</v>
      </c>
    </row>
    <row r="24" spans="1:6" x14ac:dyDescent="0.25">
      <c r="A24" t="s">
        <v>1902</v>
      </c>
      <c r="B24" t="s">
        <v>292</v>
      </c>
      <c r="C24" s="19">
        <v>5.4859999999999998</v>
      </c>
      <c r="D24" s="19">
        <v>5.1769999999999996</v>
      </c>
      <c r="E24" s="15">
        <v>4.3440000000000003</v>
      </c>
      <c r="F24" s="1" t="str">
        <f>HYPERLINK("http://www.ncbi.nlm.nih.gov/pubmed/?term=Mapk14","Mapk14")</f>
        <v>Mapk14</v>
      </c>
    </row>
    <row r="25" spans="1:6" x14ac:dyDescent="0.25">
      <c r="A25" t="s">
        <v>1852</v>
      </c>
      <c r="B25" t="s">
        <v>1070</v>
      </c>
      <c r="C25" s="39">
        <v>7.577</v>
      </c>
      <c r="D25" s="39">
        <v>7.5250000000000004</v>
      </c>
      <c r="E25" s="43">
        <v>9.6739999999999995</v>
      </c>
      <c r="F25" s="1" t="str">
        <f>HYPERLINK("http://www.ncbi.nlm.nih.gov/pubmed/?term=Nfkbia","Nfkbia")</f>
        <v>Nfkbia</v>
      </c>
    </row>
    <row r="26" spans="1:6" x14ac:dyDescent="0.25">
      <c r="A26" t="s">
        <v>529</v>
      </c>
      <c r="B26" t="s">
        <v>1321</v>
      </c>
      <c r="C26" s="41">
        <v>3.3559999999999999</v>
      </c>
      <c r="D26" s="41">
        <v>3.198</v>
      </c>
      <c r="E26" s="19">
        <v>5.0339999999999998</v>
      </c>
      <c r="F26" s="1" t="str">
        <f>HYPERLINK("http://www.ncbi.nlm.nih.gov/pubmed/?term=Traf6","Traf6")</f>
        <v>Traf6</v>
      </c>
    </row>
    <row r="27" spans="1:6" x14ac:dyDescent="0.25">
      <c r="A27" t="s">
        <v>1675</v>
      </c>
      <c r="B27" t="s">
        <v>1069</v>
      </c>
      <c r="C27" s="19">
        <v>4.6070000000000002</v>
      </c>
      <c r="D27" s="15">
        <v>3.927</v>
      </c>
      <c r="E27" s="19">
        <v>5.1689999999999996</v>
      </c>
      <c r="F27" s="1" t="str">
        <f>HYPERLINK("http://www.ncbi.nlm.nih.gov/pubmed/?term=Nfkbib","Nfkbib")</f>
        <v>Nfkbib</v>
      </c>
    </row>
    <row r="28" spans="1:6" x14ac:dyDescent="0.25">
      <c r="A28" t="s">
        <v>451</v>
      </c>
      <c r="B28" t="s">
        <v>982</v>
      </c>
      <c r="C28" s="43">
        <v>9.1549999999999994</v>
      </c>
      <c r="D28" s="39">
        <v>7.7859999999999996</v>
      </c>
      <c r="E28" s="43">
        <v>9.0220000000000002</v>
      </c>
      <c r="F28" s="1" t="str">
        <f>HYPERLINK("http://www.ncbi.nlm.nih.gov/pubmed/?term=Cxcl10","Cxcl10")</f>
        <v>Cxcl10</v>
      </c>
    </row>
    <row r="29" spans="1:6" x14ac:dyDescent="0.25">
      <c r="A29" t="s">
        <v>1392</v>
      </c>
      <c r="B29" t="s">
        <v>1354</v>
      </c>
      <c r="C29" s="15">
        <v>3.589</v>
      </c>
      <c r="D29" s="26">
        <v>-5.0990000000000002</v>
      </c>
      <c r="E29" s="37">
        <v>2.1840000000000002</v>
      </c>
      <c r="F29" s="1" t="str">
        <f>HYPERLINK("http://www.ncbi.nlm.nih.gov/pubmed/?term=Ddx3y","Ddx3y")</f>
        <v>Ddx3y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582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1098</v>
      </c>
      <c r="B5" t="s">
        <v>929</v>
      </c>
      <c r="C5" s="26">
        <v>-4.3019999999999996</v>
      </c>
      <c r="D5" s="50">
        <v>3.4460000000000002</v>
      </c>
      <c r="E5" s="4">
        <v>2.1880000000000002</v>
      </c>
      <c r="F5" s="1" t="str">
        <f>HYPERLINK("http://www.ncbi.nlm.nih.gov/pubmed/?term=Il10","Il10")</f>
        <v>Il10</v>
      </c>
    </row>
    <row r="6" spans="1:6" x14ac:dyDescent="0.25">
      <c r="A6" t="s">
        <v>1810</v>
      </c>
      <c r="B6" t="s">
        <v>868</v>
      </c>
      <c r="C6" s="4">
        <v>1.657</v>
      </c>
      <c r="D6" s="31">
        <v>6.0919999999999996</v>
      </c>
      <c r="E6" s="44">
        <v>4.2210000000000001</v>
      </c>
      <c r="F6" s="1" t="str">
        <f>HYPERLINK("http://www.ncbi.nlm.nih.gov/pubmed/?term=Krt10","Krt10")</f>
        <v>Krt10</v>
      </c>
    </row>
    <row r="7" spans="1:6" x14ac:dyDescent="0.25">
      <c r="A7" t="s">
        <v>1114</v>
      </c>
      <c r="B7" t="s">
        <v>336</v>
      </c>
      <c r="C7" s="4">
        <v>2.2010000000000001</v>
      </c>
      <c r="D7" s="34">
        <v>8.5250000000000004</v>
      </c>
      <c r="E7" s="6">
        <v>8.0510000000000002</v>
      </c>
      <c r="F7" s="1" t="str">
        <f>HYPERLINK("http://www.ncbi.nlm.nih.gov/pubmed/?term=C3","C3")</f>
        <v>C3</v>
      </c>
    </row>
    <row r="8" spans="1:6" x14ac:dyDescent="0.25">
      <c r="A8" t="s">
        <v>1485</v>
      </c>
      <c r="B8" t="s">
        <v>1293</v>
      </c>
      <c r="F8" s="1" t="str">
        <f>HYPERLINK("http://www.ncbi.nlm.nih.gov/pubmed/?term=None","None")</f>
        <v>None</v>
      </c>
    </row>
    <row r="9" spans="1:6" x14ac:dyDescent="0.25">
      <c r="A9" t="s">
        <v>687</v>
      </c>
      <c r="B9" t="s">
        <v>337</v>
      </c>
      <c r="C9" s="26">
        <v>-0.90610000000000002</v>
      </c>
      <c r="D9" s="50">
        <v>2.7530000000000001</v>
      </c>
      <c r="E9" s="44">
        <v>3.7959999999999998</v>
      </c>
      <c r="F9" s="1" t="str">
        <f>HYPERLINK("http://www.ncbi.nlm.nih.gov/pubmed/?term=C2","C2")</f>
        <v>C2</v>
      </c>
    </row>
    <row r="10" spans="1:6" x14ac:dyDescent="0.25">
      <c r="A10" t="s">
        <v>1200</v>
      </c>
      <c r="B10" t="s">
        <v>295</v>
      </c>
      <c r="C10" s="4">
        <v>1.873</v>
      </c>
      <c r="D10" s="4">
        <v>1.946</v>
      </c>
      <c r="E10" s="50">
        <v>3.484</v>
      </c>
      <c r="F10" s="1" t="str">
        <f>HYPERLINK("http://www.ncbi.nlm.nih.gov/pubmed/?term=Itgal","Itgal")</f>
        <v>Itgal</v>
      </c>
    </row>
    <row r="11" spans="1:6" x14ac:dyDescent="0.25">
      <c r="A11" t="s">
        <v>1956</v>
      </c>
      <c r="B11" t="s">
        <v>1715</v>
      </c>
      <c r="C11" s="31">
        <v>5.9130000000000003</v>
      </c>
      <c r="D11" s="31">
        <v>5.9269999999999996</v>
      </c>
      <c r="E11" s="6">
        <v>8.0259999999999998</v>
      </c>
      <c r="F11" s="1" t="str">
        <f>HYPERLINK("http://www.ncbi.nlm.nih.gov/pubmed/?term=H2-DMb2","H2-DMb2")</f>
        <v>H2-DMb2</v>
      </c>
    </row>
    <row r="12" spans="1:6" x14ac:dyDescent="0.25">
      <c r="A12" t="s">
        <v>1491</v>
      </c>
      <c r="B12" t="s">
        <v>1428</v>
      </c>
      <c r="C12" s="26">
        <v>-0.41930000000000001</v>
      </c>
      <c r="D12" s="4">
        <v>2.2890000000000001</v>
      </c>
      <c r="E12" s="35">
        <v>6.6079999999999997</v>
      </c>
      <c r="F12" s="1" t="str">
        <f>HYPERLINK("http://www.ncbi.nlm.nih.gov/pubmed/?term=H2-Ob","H2-Ob")</f>
        <v>H2-Ob</v>
      </c>
    </row>
    <row r="13" spans="1:6" x14ac:dyDescent="0.25">
      <c r="A13" t="s">
        <v>1401</v>
      </c>
      <c r="B13" t="s">
        <v>591</v>
      </c>
      <c r="C13" s="49">
        <v>9.7219999999999995</v>
      </c>
      <c r="D13" s="49">
        <v>9.8309999999999995</v>
      </c>
      <c r="E13" s="43">
        <v>11.67</v>
      </c>
      <c r="F13" s="1" t="str">
        <f>HYPERLINK("http://www.ncbi.nlm.nih.gov/pubmed/?term=H2-Eb1","H2-Eb1")</f>
        <v>H2-Eb1</v>
      </c>
    </row>
    <row r="14" spans="1:6" x14ac:dyDescent="0.25">
      <c r="A14" t="s">
        <v>1344</v>
      </c>
      <c r="B14" t="s">
        <v>200</v>
      </c>
      <c r="C14" s="26">
        <v>-3.714</v>
      </c>
      <c r="D14" s="4">
        <v>1.843</v>
      </c>
      <c r="E14" s="44">
        <v>4.2990000000000004</v>
      </c>
      <c r="F14" s="1" t="str">
        <f>HYPERLINK("http://www.ncbi.nlm.nih.gov/pubmed/?term=Dsg1b","Dsg1b")</f>
        <v>Dsg1b</v>
      </c>
    </row>
    <row r="15" spans="1:6" x14ac:dyDescent="0.25">
      <c r="A15" t="s">
        <v>1085</v>
      </c>
      <c r="B15" t="s">
        <v>199</v>
      </c>
      <c r="C15" s="26">
        <v>-1.6639999999999999</v>
      </c>
      <c r="D15" s="5">
        <v>4.9379999999999997</v>
      </c>
      <c r="E15" s="31">
        <v>5.9260000000000002</v>
      </c>
      <c r="F15" s="1" t="str">
        <f>HYPERLINK("http://www.ncbi.nlm.nih.gov/pubmed/?term=Dsg1a","Dsg1a")</f>
        <v>Dsg1a</v>
      </c>
    </row>
    <row r="16" spans="1:6" x14ac:dyDescent="0.25">
      <c r="A16" t="s">
        <v>258</v>
      </c>
      <c r="B16" t="s">
        <v>709</v>
      </c>
      <c r="C16" s="26">
        <v>-0.34200000000000003</v>
      </c>
      <c r="D16" s="4">
        <v>2.3050000000000002</v>
      </c>
      <c r="E16" s="5">
        <v>5.0209999999999999</v>
      </c>
      <c r="F16" s="1" t="str">
        <f>HYPERLINK("http://www.ncbi.nlm.nih.gov/pubmed/?term=Cfb","Cfb")</f>
        <v>Cfb</v>
      </c>
    </row>
    <row r="17" spans="1:6" x14ac:dyDescent="0.25">
      <c r="A17" t="s">
        <v>363</v>
      </c>
      <c r="B17" t="s">
        <v>945</v>
      </c>
      <c r="C17" s="50">
        <v>2.6829999999999998</v>
      </c>
      <c r="D17" s="31">
        <v>6.109</v>
      </c>
      <c r="E17" s="30">
        <v>1.0489999999999999</v>
      </c>
      <c r="F17" s="1" t="str">
        <f>HYPERLINK("http://www.ncbi.nlm.nih.gov/pubmed/?term=C1s","C1s")</f>
        <v>C1s</v>
      </c>
    </row>
    <row r="18" spans="1:6" x14ac:dyDescent="0.25">
      <c r="A18" t="s">
        <v>543</v>
      </c>
      <c r="B18" t="s">
        <v>1406</v>
      </c>
      <c r="C18" s="4">
        <v>1.8440000000000001</v>
      </c>
      <c r="D18" s="50">
        <v>3.3610000000000002</v>
      </c>
      <c r="E18" s="26">
        <v>-1.4650000000000001</v>
      </c>
      <c r="F18" s="1" t="str">
        <f>HYPERLINK("http://www.ncbi.nlm.nih.gov/pubmed/?term=C1ra","C1ra")</f>
        <v>C1ra</v>
      </c>
    </row>
    <row r="19" spans="1:6" x14ac:dyDescent="0.25">
      <c r="A19" t="s">
        <v>1324</v>
      </c>
      <c r="B19" t="s">
        <v>1429</v>
      </c>
      <c r="C19" s="5">
        <v>5.2809999999999997</v>
      </c>
      <c r="D19" s="5">
        <v>5.2389999999999999</v>
      </c>
      <c r="E19" s="6">
        <v>8.2189999999999994</v>
      </c>
      <c r="F19" s="1" t="str">
        <f>HYPERLINK("http://www.ncbi.nlm.nih.gov/pubmed/?term=H2-Oa","H2-Oa")</f>
        <v>H2-Oa</v>
      </c>
    </row>
    <row r="20" spans="1:6" x14ac:dyDescent="0.25">
      <c r="A20" t="s">
        <v>528</v>
      </c>
      <c r="B20" t="s">
        <v>1739</v>
      </c>
      <c r="C20" s="49">
        <v>10.41</v>
      </c>
      <c r="D20" s="49">
        <v>10.1</v>
      </c>
      <c r="E20" s="43">
        <v>12.37</v>
      </c>
      <c r="F20" s="1" t="str">
        <f>HYPERLINK("http://www.ncbi.nlm.nih.gov/pubmed/?term=H2-Aa","H2-Aa")</f>
        <v>H2-Aa</v>
      </c>
    </row>
    <row r="21" spans="1:6" x14ac:dyDescent="0.25">
      <c r="A21" t="s">
        <v>546</v>
      </c>
      <c r="B21" t="s">
        <v>647</v>
      </c>
      <c r="C21" s="35">
        <v>7.0970000000000004</v>
      </c>
      <c r="D21" s="35">
        <v>6.6790000000000003</v>
      </c>
      <c r="E21" s="34">
        <v>8.57</v>
      </c>
      <c r="F21" s="1" t="str">
        <f>HYPERLINK("http://www.ncbi.nlm.nih.gov/pubmed/?term=Icam1","Icam1")</f>
        <v>Icam1</v>
      </c>
    </row>
    <row r="22" spans="1:6" x14ac:dyDescent="0.25">
      <c r="A22" t="s">
        <v>1974</v>
      </c>
      <c r="B22" t="s">
        <v>1270</v>
      </c>
      <c r="C22" s="43">
        <v>10.67</v>
      </c>
      <c r="D22" s="49">
        <v>10.31</v>
      </c>
      <c r="E22" s="43">
        <v>12.36</v>
      </c>
      <c r="F22" s="1" t="str">
        <f>HYPERLINK("http://www.ncbi.nlm.nih.gov/pubmed/?term=H2-Ab1","H2-Ab1")</f>
        <v>H2-Ab1</v>
      </c>
    </row>
    <row r="23" spans="1:6" x14ac:dyDescent="0.25">
      <c r="A23" t="s">
        <v>1468</v>
      </c>
      <c r="B23" t="s">
        <v>1716</v>
      </c>
      <c r="C23" s="5">
        <v>5.3959999999999999</v>
      </c>
      <c r="D23" s="5">
        <v>5.0060000000000002</v>
      </c>
      <c r="E23" s="35">
        <v>6.9</v>
      </c>
      <c r="F23" s="1" t="str">
        <f>HYPERLINK("http://www.ncbi.nlm.nih.gov/pubmed/?term=H2-DMb1","H2-DMb1")</f>
        <v>H2-DMb1</v>
      </c>
    </row>
    <row r="24" spans="1:6" x14ac:dyDescent="0.25">
      <c r="A24" t="s">
        <v>1660</v>
      </c>
      <c r="B24" t="s">
        <v>2069</v>
      </c>
      <c r="C24" s="44">
        <v>3.8090000000000002</v>
      </c>
      <c r="D24" s="26">
        <v>-1.27</v>
      </c>
      <c r="E24" s="26">
        <v>-1.117</v>
      </c>
      <c r="F24" s="1" t="str">
        <f>HYPERLINK("http://www.ncbi.nlm.nih.gov/pubmed/?term=Itgb2","Itgb2")</f>
        <v>Itgb2</v>
      </c>
    </row>
    <row r="25" spans="1:6" x14ac:dyDescent="0.25">
      <c r="A25" t="s">
        <v>865</v>
      </c>
      <c r="B25" t="s">
        <v>1044</v>
      </c>
      <c r="C25" s="35">
        <v>6.5350000000000001</v>
      </c>
      <c r="D25" s="5">
        <v>4.9409999999999998</v>
      </c>
      <c r="E25" s="31">
        <v>6.3239999999999998</v>
      </c>
      <c r="F25" s="1" t="str">
        <f>HYPERLINK("http://www.ncbi.nlm.nih.gov/pubmed/?term=H2-DMa","H2-DMa")</f>
        <v>H2-DMa</v>
      </c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1497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498</v>
      </c>
      <c r="B5" t="s">
        <v>297</v>
      </c>
      <c r="C5" s="4">
        <v>2.2389999999999999</v>
      </c>
      <c r="D5" s="35">
        <v>7.0960000000000001</v>
      </c>
      <c r="E5" s="5">
        <v>5.49</v>
      </c>
      <c r="F5" s="1" t="str">
        <f>HYPERLINK("http://www.ncbi.nlm.nih.gov/pubmed/?term=Mapk13","Mapk13")</f>
        <v>Mapk13</v>
      </c>
    </row>
    <row r="6" spans="1:6" x14ac:dyDescent="0.25">
      <c r="A6" t="s">
        <v>294</v>
      </c>
      <c r="B6" t="s">
        <v>966</v>
      </c>
      <c r="C6" s="26">
        <v>-2.4009999999999998</v>
      </c>
      <c r="D6" s="44">
        <v>4.0940000000000003</v>
      </c>
      <c r="E6" s="30">
        <v>0.90300000000000002</v>
      </c>
      <c r="F6" s="1" t="str">
        <f>HYPERLINK("http://www.ncbi.nlm.nih.gov/pubmed/?term=Lbp","Lbp")</f>
        <v>Lbp</v>
      </c>
    </row>
    <row r="7" spans="1:6" x14ac:dyDescent="0.25">
      <c r="A7" t="s">
        <v>1098</v>
      </c>
      <c r="B7" t="s">
        <v>929</v>
      </c>
      <c r="C7" s="26">
        <v>-4.3019999999999996</v>
      </c>
      <c r="D7" s="50">
        <v>3.4460000000000002</v>
      </c>
      <c r="E7" s="4">
        <v>2.1880000000000002</v>
      </c>
      <c r="F7" s="1" t="str">
        <f>HYPERLINK("http://www.ncbi.nlm.nih.gov/pubmed/?term=Il10","Il10")</f>
        <v>Il10</v>
      </c>
    </row>
    <row r="8" spans="1:6" x14ac:dyDescent="0.25">
      <c r="A8" t="s">
        <v>1114</v>
      </c>
      <c r="B8" t="s">
        <v>336</v>
      </c>
      <c r="C8" s="4">
        <v>2.2010000000000001</v>
      </c>
      <c r="D8" s="34">
        <v>8.5250000000000004</v>
      </c>
      <c r="E8" s="6">
        <v>8.0510000000000002</v>
      </c>
      <c r="F8" s="1" t="str">
        <f>HYPERLINK("http://www.ncbi.nlm.nih.gov/pubmed/?term=C3","C3")</f>
        <v>C3</v>
      </c>
    </row>
    <row r="9" spans="1:6" x14ac:dyDescent="0.25">
      <c r="A9" t="s">
        <v>1878</v>
      </c>
      <c r="B9" t="s">
        <v>523</v>
      </c>
      <c r="C9" s="4">
        <v>2.383</v>
      </c>
      <c r="D9" s="44">
        <v>3.786</v>
      </c>
      <c r="E9" s="44">
        <v>3.532</v>
      </c>
      <c r="F9" s="1" t="str">
        <f>HYPERLINK("http://www.ncbi.nlm.nih.gov/pubmed/?term=Malt1","Malt1")</f>
        <v>Malt1</v>
      </c>
    </row>
    <row r="10" spans="1:6" x14ac:dyDescent="0.25">
      <c r="A10" t="s">
        <v>1169</v>
      </c>
      <c r="B10" t="s">
        <v>62</v>
      </c>
      <c r="C10" s="26">
        <v>-2.363</v>
      </c>
      <c r="D10" s="31">
        <v>5.6109999999999998</v>
      </c>
      <c r="E10" s="5">
        <v>5.3639999999999999</v>
      </c>
      <c r="F10" s="1" t="str">
        <f>HYPERLINK("http://www.ncbi.nlm.nih.gov/pubmed/?term=Calm4","Calm4")</f>
        <v>Calm4</v>
      </c>
    </row>
    <row r="11" spans="1:6" x14ac:dyDescent="0.25">
      <c r="A11" t="s">
        <v>1382</v>
      </c>
      <c r="B11" t="s">
        <v>440</v>
      </c>
      <c r="C11" s="26">
        <v>-1.218</v>
      </c>
      <c r="D11" s="44">
        <v>3.7610000000000001</v>
      </c>
      <c r="E11" s="50">
        <v>3.367</v>
      </c>
      <c r="F11" s="1" t="str">
        <f>HYPERLINK("http://www.ncbi.nlm.nih.gov/pubmed/?term=Camk2b","Camk2b")</f>
        <v>Camk2b</v>
      </c>
    </row>
    <row r="12" spans="1:6" x14ac:dyDescent="0.25">
      <c r="A12" t="s">
        <v>538</v>
      </c>
      <c r="B12" t="s">
        <v>1263</v>
      </c>
      <c r="C12" s="5">
        <v>5.3659999999999997</v>
      </c>
      <c r="D12" s="5">
        <v>5.4429999999999996</v>
      </c>
      <c r="E12" s="35">
        <v>7.1589999999999998</v>
      </c>
      <c r="F12" s="1" t="str">
        <f>HYPERLINK("http://www.ncbi.nlm.nih.gov/pubmed/?term=Bax","Bax")</f>
        <v>Bax</v>
      </c>
    </row>
    <row r="13" spans="1:6" x14ac:dyDescent="0.25">
      <c r="A13" t="s">
        <v>634</v>
      </c>
      <c r="B13" t="s">
        <v>486</v>
      </c>
      <c r="C13" s="50">
        <v>3.0750000000000002</v>
      </c>
      <c r="D13" s="44">
        <v>3.84</v>
      </c>
      <c r="E13" s="31">
        <v>5.7590000000000003</v>
      </c>
      <c r="F13" s="1" t="str">
        <f>HYPERLINK("http://www.ncbi.nlm.nih.gov/pubmed/?term=Ksr1","Ksr1")</f>
        <v>Ksr1</v>
      </c>
    </row>
    <row r="14" spans="1:6" x14ac:dyDescent="0.25">
      <c r="A14" t="s">
        <v>1173</v>
      </c>
      <c r="B14" t="s">
        <v>1060</v>
      </c>
      <c r="C14" s="26">
        <v>-1.2470000000000001</v>
      </c>
      <c r="D14" s="4">
        <v>2.052</v>
      </c>
      <c r="E14" s="35">
        <v>7.4489999999999998</v>
      </c>
      <c r="F14" s="1" t="str">
        <f>HYPERLINK("http://www.ncbi.nlm.nih.gov/pubmed/?term=Nos2","Nos2")</f>
        <v>Nos2</v>
      </c>
    </row>
    <row r="15" spans="1:6" x14ac:dyDescent="0.25">
      <c r="A15" t="s">
        <v>1599</v>
      </c>
      <c r="B15" t="s">
        <v>225</v>
      </c>
      <c r="C15" s="30">
        <v>0.73909999999999998</v>
      </c>
      <c r="D15" s="50">
        <v>3.1890000000000001</v>
      </c>
      <c r="E15" s="5">
        <v>4.5190000000000001</v>
      </c>
      <c r="F15" s="1" t="str">
        <f>HYPERLINK("http://www.ncbi.nlm.nih.gov/pubmed/?term=Syk","Syk")</f>
        <v>Syk</v>
      </c>
    </row>
    <row r="16" spans="1:6" x14ac:dyDescent="0.25">
      <c r="A16" t="s">
        <v>128</v>
      </c>
      <c r="B16" t="s">
        <v>1608</v>
      </c>
      <c r="C16" s="4">
        <v>2.246</v>
      </c>
      <c r="D16" s="44">
        <v>3.8290000000000002</v>
      </c>
      <c r="E16" s="5">
        <v>5.46</v>
      </c>
      <c r="F16" s="1" t="str">
        <f>HYPERLINK("http://www.ncbi.nlm.nih.gov/pubmed/?term=Vdr","Vdr")</f>
        <v>Vdr</v>
      </c>
    </row>
    <row r="17" spans="1:6" x14ac:dyDescent="0.25">
      <c r="A17" t="s">
        <v>1487</v>
      </c>
      <c r="B17" t="s">
        <v>1618</v>
      </c>
      <c r="C17" s="44">
        <v>4.0289999999999999</v>
      </c>
      <c r="D17" s="5">
        <v>4.91</v>
      </c>
      <c r="E17" s="5">
        <v>5.2249999999999996</v>
      </c>
      <c r="F17" s="1" t="str">
        <f>HYPERLINK("http://www.ncbi.nlm.nih.gov/pubmed/?term=Ifngr2","Ifngr2")</f>
        <v>Ifngr2</v>
      </c>
    </row>
    <row r="18" spans="1:6" x14ac:dyDescent="0.25">
      <c r="A18" t="s">
        <v>656</v>
      </c>
      <c r="B18" t="s">
        <v>1049</v>
      </c>
      <c r="C18" s="26">
        <v>-1.929</v>
      </c>
      <c r="D18" s="30">
        <v>0.65049999999999997</v>
      </c>
      <c r="E18" s="44">
        <v>4.242</v>
      </c>
      <c r="F18" s="1" t="str">
        <f>HYPERLINK("http://www.ncbi.nlm.nih.gov/pubmed/?term=Tnf","Tnf")</f>
        <v>Tnf</v>
      </c>
    </row>
    <row r="19" spans="1:6" x14ac:dyDescent="0.25">
      <c r="A19" t="s">
        <v>779</v>
      </c>
      <c r="B19" t="s">
        <v>1650</v>
      </c>
      <c r="C19" s="26">
        <v>-1.085</v>
      </c>
      <c r="D19" s="44">
        <v>3.79</v>
      </c>
      <c r="E19" s="35">
        <v>6.8739999999999997</v>
      </c>
      <c r="F19" s="1" t="str">
        <f>HYPERLINK("http://www.ncbi.nlm.nih.gov/pubmed/?term=Il23a","Il23a")</f>
        <v>Il23a</v>
      </c>
    </row>
    <row r="20" spans="1:6" x14ac:dyDescent="0.25">
      <c r="A20" t="s">
        <v>1958</v>
      </c>
      <c r="B20" t="s">
        <v>1965</v>
      </c>
      <c r="C20" s="5">
        <v>4.9290000000000003</v>
      </c>
      <c r="D20" s="5">
        <v>5.2320000000000002</v>
      </c>
      <c r="E20" s="31">
        <v>6.2359999999999998</v>
      </c>
      <c r="F20" s="1" t="str">
        <f>HYPERLINK("http://www.ncbi.nlm.nih.gov/pubmed/?term=Src","Src")</f>
        <v>Src</v>
      </c>
    </row>
    <row r="21" spans="1:6" x14ac:dyDescent="0.25">
      <c r="A21" t="s">
        <v>391</v>
      </c>
      <c r="B21" t="s">
        <v>558</v>
      </c>
      <c r="C21" s="26">
        <v>-2.9940000000000002</v>
      </c>
      <c r="D21" s="26">
        <v>-4.1790000000000001E-2</v>
      </c>
      <c r="E21" s="31">
        <v>6.1180000000000003</v>
      </c>
      <c r="F21" s="1" t="str">
        <f>HYPERLINK("http://www.ncbi.nlm.nih.gov/pubmed/?term=Il12a","Il12a")</f>
        <v>Il12a</v>
      </c>
    </row>
    <row r="22" spans="1:6" x14ac:dyDescent="0.25">
      <c r="A22" t="s">
        <v>1279</v>
      </c>
      <c r="B22" t="s">
        <v>919</v>
      </c>
      <c r="C22" s="26">
        <v>-2.2109999999999999</v>
      </c>
      <c r="D22" s="26">
        <v>-0.16819999999999999</v>
      </c>
      <c r="E22" s="44">
        <v>3.6920000000000002</v>
      </c>
      <c r="F22" s="1" t="str">
        <f>HYPERLINK("http://www.ncbi.nlm.nih.gov/pubmed/?term=Il10ra","Il10ra")</f>
        <v>Il10ra</v>
      </c>
    </row>
    <row r="23" spans="1:6" x14ac:dyDescent="0.25">
      <c r="A23" t="s">
        <v>348</v>
      </c>
      <c r="B23" t="s">
        <v>827</v>
      </c>
      <c r="C23" s="50">
        <v>3.177</v>
      </c>
      <c r="D23" s="44">
        <v>3.758</v>
      </c>
      <c r="E23" s="44">
        <v>4.1319999999999997</v>
      </c>
      <c r="F23" s="1" t="str">
        <f>HYPERLINK("http://www.ncbi.nlm.nih.gov/pubmed/?term=Eea1","Eea1")</f>
        <v>Eea1</v>
      </c>
    </row>
    <row r="24" spans="1:6" x14ac:dyDescent="0.25">
      <c r="A24" t="s">
        <v>1956</v>
      </c>
      <c r="B24" t="s">
        <v>1715</v>
      </c>
      <c r="C24" s="31">
        <v>5.9130000000000003</v>
      </c>
      <c r="D24" s="31">
        <v>5.9269999999999996</v>
      </c>
      <c r="E24" s="6">
        <v>8.0259999999999998</v>
      </c>
      <c r="F24" s="1" t="str">
        <f>HYPERLINK("http://www.ncbi.nlm.nih.gov/pubmed/?term=H2-DMb2","H2-DMb2")</f>
        <v>H2-DMb2</v>
      </c>
    </row>
    <row r="25" spans="1:6" x14ac:dyDescent="0.25">
      <c r="A25" t="s">
        <v>235</v>
      </c>
      <c r="B25" t="s">
        <v>1543</v>
      </c>
      <c r="C25" s="4">
        <v>1.6619999999999999</v>
      </c>
      <c r="D25" s="5">
        <v>5.0519999999999996</v>
      </c>
      <c r="E25" s="6">
        <v>7.556</v>
      </c>
      <c r="F25" s="1" t="str">
        <f>HYPERLINK("http://www.ncbi.nlm.nih.gov/pubmed/?term=Ctss","Ctss")</f>
        <v>Ctss</v>
      </c>
    </row>
    <row r="26" spans="1:6" x14ac:dyDescent="0.25">
      <c r="A26" t="s">
        <v>194</v>
      </c>
      <c r="B26" t="s">
        <v>1900</v>
      </c>
      <c r="C26" s="4">
        <v>2.0819999999999999</v>
      </c>
      <c r="D26" s="50">
        <v>2.8410000000000002</v>
      </c>
      <c r="E26" s="50">
        <v>3.4369999999999998</v>
      </c>
      <c r="F26" s="1" t="str">
        <f>HYPERLINK("http://www.ncbi.nlm.nih.gov/pubmed/?term=Ripk2","Ripk2")</f>
        <v>Ripk2</v>
      </c>
    </row>
    <row r="27" spans="1:6" x14ac:dyDescent="0.25">
      <c r="A27" t="s">
        <v>1491</v>
      </c>
      <c r="B27" t="s">
        <v>1428</v>
      </c>
      <c r="C27" s="26">
        <v>-0.41930000000000001</v>
      </c>
      <c r="D27" s="4">
        <v>2.2890000000000001</v>
      </c>
      <c r="E27" s="35">
        <v>6.6079999999999997</v>
      </c>
      <c r="F27" s="1" t="str">
        <f>HYPERLINK("http://www.ncbi.nlm.nih.gov/pubmed/?term=H2-Ob","H2-Ob")</f>
        <v>H2-Ob</v>
      </c>
    </row>
    <row r="28" spans="1:6" x14ac:dyDescent="0.25">
      <c r="A28" t="s">
        <v>840</v>
      </c>
      <c r="B28" t="s">
        <v>1445</v>
      </c>
      <c r="C28" s="26">
        <v>-4.0460000000000003</v>
      </c>
      <c r="D28" s="26">
        <v>-8.2879999999999995E-2</v>
      </c>
      <c r="E28" s="5">
        <v>4.6589999999999998</v>
      </c>
      <c r="F28" s="1" t="str">
        <f>HYPERLINK("http://www.ncbi.nlm.nih.gov/pubmed/?term=Tlr9","Tlr9")</f>
        <v>Tlr9</v>
      </c>
    </row>
    <row r="29" spans="1:6" x14ac:dyDescent="0.25">
      <c r="A29" t="s">
        <v>1993</v>
      </c>
      <c r="B29" t="s">
        <v>23</v>
      </c>
      <c r="C29" s="50">
        <v>2.754</v>
      </c>
      <c r="D29" s="44">
        <v>4.056</v>
      </c>
      <c r="E29" s="44">
        <v>4.3879999999999999</v>
      </c>
      <c r="F29" s="1" t="str">
        <f>HYPERLINK("http://www.ncbi.nlm.nih.gov/pubmed/?term=Cebpb","Cebpb")</f>
        <v>Cebpb</v>
      </c>
    </row>
    <row r="30" spans="1:6" x14ac:dyDescent="0.25">
      <c r="A30" t="s">
        <v>222</v>
      </c>
      <c r="B30" t="s">
        <v>791</v>
      </c>
      <c r="C30" s="26">
        <v>-1.3029999999999999</v>
      </c>
      <c r="D30" s="26">
        <v>-0.62109999999999999</v>
      </c>
      <c r="E30" s="5">
        <v>5.4359999999999999</v>
      </c>
      <c r="F30" s="1" t="str">
        <f>HYPERLINK("http://www.ncbi.nlm.nih.gov/pubmed/?term=Fcer1g","Fcer1g")</f>
        <v>Fcer1g</v>
      </c>
    </row>
    <row r="31" spans="1:6" x14ac:dyDescent="0.25">
      <c r="A31" t="s">
        <v>697</v>
      </c>
      <c r="B31" t="s">
        <v>1872</v>
      </c>
      <c r="C31" s="4">
        <v>1.913</v>
      </c>
      <c r="D31" s="50">
        <v>3.3650000000000002</v>
      </c>
      <c r="E31" s="5">
        <v>5.35</v>
      </c>
      <c r="F31" s="1" t="str">
        <f>HYPERLINK("http://www.ncbi.nlm.nih.gov/pubmed/?term=Irak2","Irak2")</f>
        <v>Irak2</v>
      </c>
    </row>
    <row r="32" spans="1:6" x14ac:dyDescent="0.25">
      <c r="A32" t="s">
        <v>1401</v>
      </c>
      <c r="B32" t="s">
        <v>591</v>
      </c>
      <c r="C32" s="49">
        <v>9.7219999999999995</v>
      </c>
      <c r="D32" s="49">
        <v>9.8309999999999995</v>
      </c>
      <c r="E32" s="43">
        <v>11.67</v>
      </c>
      <c r="F32" s="1" t="str">
        <f>HYPERLINK("http://www.ncbi.nlm.nih.gov/pubmed/?term=H2-Eb1","H2-Eb1")</f>
        <v>H2-Eb1</v>
      </c>
    </row>
    <row r="33" spans="1:6" x14ac:dyDescent="0.25">
      <c r="A33" t="s">
        <v>2124</v>
      </c>
      <c r="B33" t="s">
        <v>2188</v>
      </c>
      <c r="C33" s="26">
        <v>-1.919</v>
      </c>
      <c r="D33" s="31">
        <v>5.5629999999999997</v>
      </c>
      <c r="E33" s="31">
        <v>5.6420000000000003</v>
      </c>
      <c r="F33" s="1" t="str">
        <f>HYPERLINK("http://www.ncbi.nlm.nih.gov/pubmed/?term=Calml3","Calml3")</f>
        <v>Calml3</v>
      </c>
    </row>
    <row r="34" spans="1:6" x14ac:dyDescent="0.25">
      <c r="A34" t="s">
        <v>64</v>
      </c>
      <c r="B34" t="s">
        <v>1536</v>
      </c>
      <c r="C34" s="31">
        <v>6.4889999999999999</v>
      </c>
      <c r="D34" s="35">
        <v>6.6550000000000002</v>
      </c>
      <c r="E34" s="5">
        <v>5.0279999999999996</v>
      </c>
      <c r="F34" s="1" t="str">
        <f>HYPERLINK("http://www.ncbi.nlm.nih.gov/pubmed/?term=Ctsd","Ctsd")</f>
        <v>Ctsd</v>
      </c>
    </row>
    <row r="35" spans="1:6" x14ac:dyDescent="0.25">
      <c r="A35" t="s">
        <v>1747</v>
      </c>
      <c r="B35" t="s">
        <v>1617</v>
      </c>
      <c r="C35" s="44">
        <v>4.47</v>
      </c>
      <c r="D35" s="31">
        <v>5.5170000000000003</v>
      </c>
      <c r="E35" s="44">
        <v>3.8849999999999998</v>
      </c>
      <c r="F35" s="1" t="str">
        <f>HYPERLINK("http://www.ncbi.nlm.nih.gov/pubmed/?term=Ifngr1","Ifngr1")</f>
        <v>Ifngr1</v>
      </c>
    </row>
    <row r="36" spans="1:6" x14ac:dyDescent="0.25">
      <c r="A36" t="s">
        <v>1882</v>
      </c>
      <c r="B36" t="s">
        <v>474</v>
      </c>
      <c r="C36" s="50">
        <v>3.1909999999999998</v>
      </c>
      <c r="D36" s="44">
        <v>4.0170000000000003</v>
      </c>
      <c r="E36" s="30">
        <v>1.3959999999999999</v>
      </c>
      <c r="F36" s="1" t="str">
        <f>HYPERLINK("http://www.ncbi.nlm.nih.gov/pubmed/?term=Tgfb3","Tgfb3")</f>
        <v>Tgfb3</v>
      </c>
    </row>
    <row r="37" spans="1:6" x14ac:dyDescent="0.25">
      <c r="A37" t="s">
        <v>686</v>
      </c>
      <c r="B37" t="s">
        <v>593</v>
      </c>
      <c r="C37" s="6">
        <v>7.6289999999999996</v>
      </c>
      <c r="D37" s="6">
        <v>8.4730000000000008</v>
      </c>
      <c r="E37" s="35">
        <v>7.0110000000000001</v>
      </c>
      <c r="F37" s="1" t="str">
        <f>HYPERLINK("http://www.ncbi.nlm.nih.gov/pubmed/?term=Calm2","Calm2")</f>
        <v>Calm2</v>
      </c>
    </row>
    <row r="38" spans="1:6" x14ac:dyDescent="0.25">
      <c r="A38" t="s">
        <v>651</v>
      </c>
      <c r="B38" t="s">
        <v>438</v>
      </c>
      <c r="C38" s="50">
        <v>3.008</v>
      </c>
      <c r="D38" s="44">
        <v>4.3090000000000002</v>
      </c>
      <c r="E38" s="4">
        <v>2.335</v>
      </c>
      <c r="F38" s="1" t="str">
        <f>HYPERLINK("http://www.ncbi.nlm.nih.gov/pubmed/?term=Camk2d","Camk2d")</f>
        <v>Camk2d</v>
      </c>
    </row>
    <row r="39" spans="1:6" x14ac:dyDescent="0.25">
      <c r="A39" t="s">
        <v>1143</v>
      </c>
      <c r="B39" t="s">
        <v>595</v>
      </c>
      <c r="C39" s="35">
        <v>6.7370000000000001</v>
      </c>
      <c r="D39" s="31">
        <v>6.1340000000000003</v>
      </c>
      <c r="E39" s="31">
        <v>5.6020000000000003</v>
      </c>
      <c r="F39" s="1" t="str">
        <f>HYPERLINK("http://www.ncbi.nlm.nih.gov/pubmed/?term=Calm1","Calm1")</f>
        <v>Calm1</v>
      </c>
    </row>
    <row r="40" spans="1:6" x14ac:dyDescent="0.25">
      <c r="A40" t="s">
        <v>1043</v>
      </c>
      <c r="B40" t="s">
        <v>1537</v>
      </c>
      <c r="C40" s="5">
        <v>4.7699999999999996</v>
      </c>
      <c r="D40" s="44">
        <v>4.4960000000000004</v>
      </c>
      <c r="E40" s="50">
        <v>2.8730000000000002</v>
      </c>
      <c r="F40" s="1" t="str">
        <f>HYPERLINK("http://www.ncbi.nlm.nih.gov/pubmed/?term=Tcirg1","Tcirg1")</f>
        <v>Tcirg1</v>
      </c>
    </row>
    <row r="41" spans="1:6" x14ac:dyDescent="0.25">
      <c r="A41" t="s">
        <v>31</v>
      </c>
      <c r="B41" t="s">
        <v>400</v>
      </c>
      <c r="C41" s="44">
        <v>4.476</v>
      </c>
      <c r="D41" s="44">
        <v>3.5920000000000001</v>
      </c>
      <c r="E41" s="50">
        <v>3.4319999999999999</v>
      </c>
      <c r="F41" s="1" t="str">
        <f>HYPERLINK("http://www.ncbi.nlm.nih.gov/pubmed/?term=Mapk9","Mapk9")</f>
        <v>Mapk9</v>
      </c>
    </row>
    <row r="42" spans="1:6" x14ac:dyDescent="0.25">
      <c r="A42" t="s">
        <v>2079</v>
      </c>
      <c r="B42" t="s">
        <v>439</v>
      </c>
      <c r="C42" s="44">
        <v>4.1420000000000003</v>
      </c>
      <c r="D42" s="50">
        <v>3.1230000000000002</v>
      </c>
      <c r="E42" s="50">
        <v>2.609</v>
      </c>
      <c r="F42" s="1" t="str">
        <f>HYPERLINK("http://www.ncbi.nlm.nih.gov/pubmed/?term=Camk2g","Camk2g")</f>
        <v>Camk2g</v>
      </c>
    </row>
    <row r="43" spans="1:6" x14ac:dyDescent="0.25">
      <c r="A43" t="s">
        <v>834</v>
      </c>
      <c r="B43" t="s">
        <v>1552</v>
      </c>
      <c r="C43" s="5">
        <v>4.516</v>
      </c>
      <c r="D43" s="44">
        <v>3.7549999999999999</v>
      </c>
      <c r="E43" s="50">
        <v>3.4649999999999999</v>
      </c>
      <c r="F43" s="1" t="str">
        <f>HYPERLINK("http://www.ncbi.nlm.nih.gov/pubmed/?term=Mapk8","Mapk8")</f>
        <v>Mapk8</v>
      </c>
    </row>
    <row r="44" spans="1:6" x14ac:dyDescent="0.25">
      <c r="A44" t="s">
        <v>1162</v>
      </c>
      <c r="B44" t="s">
        <v>1995</v>
      </c>
      <c r="C44" s="43">
        <v>11.64</v>
      </c>
      <c r="D44" s="43">
        <v>11.45</v>
      </c>
      <c r="E44">
        <v>0</v>
      </c>
      <c r="F44" s="1" t="str">
        <f>HYPERLINK("http://www.ncbi.nlm.nih.gov/pubmed/?term=Cd74","Cd74")</f>
        <v>Cd74</v>
      </c>
    </row>
    <row r="45" spans="1:6" x14ac:dyDescent="0.25">
      <c r="A45" t="s">
        <v>233</v>
      </c>
      <c r="B45" t="s">
        <v>1714</v>
      </c>
      <c r="C45" s="35">
        <v>6.734</v>
      </c>
      <c r="D45" s="35">
        <v>6.7110000000000003</v>
      </c>
      <c r="E45" s="5">
        <v>5.4809999999999999</v>
      </c>
      <c r="F45" s="1" t="str">
        <f>HYPERLINK("http://www.ncbi.nlm.nih.gov/pubmed/?term=Stat1","Stat1")</f>
        <v>Stat1</v>
      </c>
    </row>
    <row r="46" spans="1:6" x14ac:dyDescent="0.25">
      <c r="A46" t="s">
        <v>242</v>
      </c>
      <c r="B46" t="s">
        <v>997</v>
      </c>
      <c r="C46" s="31">
        <v>6.056</v>
      </c>
      <c r="D46" s="5">
        <v>5.3730000000000002</v>
      </c>
      <c r="E46" s="44">
        <v>4.3070000000000004</v>
      </c>
      <c r="F46" s="1" t="str">
        <f>HYPERLINK("http://www.ncbi.nlm.nih.gov/pubmed/?term=Tnfrsf1a","Tnfrsf1a")</f>
        <v>Tnfrsf1a</v>
      </c>
    </row>
    <row r="47" spans="1:6" x14ac:dyDescent="0.25">
      <c r="A47" t="s">
        <v>675</v>
      </c>
      <c r="B47" t="s">
        <v>1783</v>
      </c>
      <c r="C47" s="44">
        <v>3.9689999999999999</v>
      </c>
      <c r="D47" s="50">
        <v>2.8450000000000002</v>
      </c>
      <c r="E47" s="4">
        <v>1.974</v>
      </c>
      <c r="F47" s="1" t="str">
        <f>HYPERLINK("http://www.ncbi.nlm.nih.gov/pubmed/?term=Rfxap","Rfxap")</f>
        <v>Rfxap</v>
      </c>
    </row>
    <row r="48" spans="1:6" x14ac:dyDescent="0.25">
      <c r="A48" t="s">
        <v>1902</v>
      </c>
      <c r="B48" t="s">
        <v>292</v>
      </c>
      <c r="C48" s="5">
        <v>5.4859999999999998</v>
      </c>
      <c r="D48" s="5">
        <v>5.1769999999999996</v>
      </c>
      <c r="E48" s="44">
        <v>4.3440000000000003</v>
      </c>
      <c r="F48" s="1" t="str">
        <f>HYPERLINK("http://www.ncbi.nlm.nih.gov/pubmed/?term=Mapk14","Mapk14")</f>
        <v>Mapk14</v>
      </c>
    </row>
    <row r="49" spans="1:6" x14ac:dyDescent="0.25">
      <c r="A49" t="s">
        <v>2024</v>
      </c>
      <c r="B49" t="s">
        <v>15</v>
      </c>
      <c r="C49" s="44">
        <v>3.827</v>
      </c>
      <c r="D49" s="50">
        <v>2.8050000000000002</v>
      </c>
      <c r="E49" s="4">
        <v>2.2109999999999999</v>
      </c>
      <c r="F49" s="1" t="str">
        <f>HYPERLINK("http://www.ncbi.nlm.nih.gov/pubmed/?term=Bcl2","Bcl2")</f>
        <v>Bcl2</v>
      </c>
    </row>
    <row r="50" spans="1:6" x14ac:dyDescent="0.25">
      <c r="A50" t="s">
        <v>1663</v>
      </c>
      <c r="B50" t="s">
        <v>2084</v>
      </c>
      <c r="C50" s="5">
        <v>4.7439999999999998</v>
      </c>
      <c r="D50" s="44">
        <v>4.2359999999999998</v>
      </c>
      <c r="E50" s="44">
        <v>3.5880000000000001</v>
      </c>
      <c r="F50" s="1" t="str">
        <f>HYPERLINK("http://www.ncbi.nlm.nih.gov/pubmed/?term=Arhgef12","Arhgef12")</f>
        <v>Arhgef12</v>
      </c>
    </row>
    <row r="51" spans="1:6" x14ac:dyDescent="0.25">
      <c r="A51" t="s">
        <v>1459</v>
      </c>
      <c r="B51" t="s">
        <v>473</v>
      </c>
      <c r="C51" s="50">
        <v>3.3570000000000002</v>
      </c>
      <c r="D51" s="50">
        <v>2.609</v>
      </c>
      <c r="E51" s="44">
        <v>3.7639999999999998</v>
      </c>
      <c r="F51" s="1" t="str">
        <f>HYPERLINK("http://www.ncbi.nlm.nih.gov/pubmed/?term=Tgfb1","Tgfb1")</f>
        <v>Tgfb1</v>
      </c>
    </row>
    <row r="52" spans="1:6" x14ac:dyDescent="0.25">
      <c r="A52" t="s">
        <v>912</v>
      </c>
      <c r="B52" t="s">
        <v>2185</v>
      </c>
      <c r="C52" s="44">
        <v>4.0119999999999996</v>
      </c>
      <c r="D52" s="44">
        <v>3.7069999999999999</v>
      </c>
      <c r="E52" s="5">
        <v>5.1239999999999997</v>
      </c>
      <c r="F52" s="1" t="str">
        <f>HYPERLINK("http://www.ncbi.nlm.nih.gov/pubmed/?term=Rfx5","Rfx5")</f>
        <v>Rfx5</v>
      </c>
    </row>
    <row r="53" spans="1:6" x14ac:dyDescent="0.25">
      <c r="A53" t="s">
        <v>533</v>
      </c>
      <c r="B53" t="s">
        <v>1254</v>
      </c>
      <c r="C53" s="50">
        <v>3.35</v>
      </c>
      <c r="D53" s="4">
        <v>2.044</v>
      </c>
      <c r="E53" s="31">
        <v>6.26</v>
      </c>
      <c r="F53" s="1" t="str">
        <f>HYPERLINK("http://www.ncbi.nlm.nih.gov/pubmed/?term=Lsp1","Lsp1")</f>
        <v>Lsp1</v>
      </c>
    </row>
    <row r="54" spans="1:6" x14ac:dyDescent="0.25">
      <c r="A54" t="s">
        <v>911</v>
      </c>
      <c r="B54" t="s">
        <v>1166</v>
      </c>
      <c r="C54" s="31">
        <v>5.8419999999999996</v>
      </c>
      <c r="D54" s="5">
        <v>4.8109999999999999</v>
      </c>
      <c r="E54" s="35">
        <v>6.6239999999999997</v>
      </c>
      <c r="F54" s="1" t="str">
        <f>HYPERLINK("http://www.ncbi.nlm.nih.gov/pubmed/?term=Atp6v0a1","Atp6v0a1")</f>
        <v>Atp6v0a1</v>
      </c>
    </row>
    <row r="55" spans="1:6" x14ac:dyDescent="0.25">
      <c r="A55" t="s">
        <v>1066</v>
      </c>
      <c r="B55" t="s">
        <v>981</v>
      </c>
      <c r="C55" s="31">
        <v>5.7240000000000002</v>
      </c>
      <c r="D55" s="5">
        <v>4.8490000000000002</v>
      </c>
      <c r="E55" s="35">
        <v>6.8129999999999997</v>
      </c>
      <c r="F55" s="1" t="str">
        <f>HYPERLINK("http://www.ncbi.nlm.nih.gov/pubmed/?term=Ciita","Ciita")</f>
        <v>Ciita</v>
      </c>
    </row>
    <row r="56" spans="1:6" x14ac:dyDescent="0.25">
      <c r="A56" t="s">
        <v>1324</v>
      </c>
      <c r="B56" t="s">
        <v>1429</v>
      </c>
      <c r="C56" s="5">
        <v>5.2809999999999997</v>
      </c>
      <c r="D56" s="5">
        <v>5.2389999999999999</v>
      </c>
      <c r="E56" s="6">
        <v>8.2189999999999994</v>
      </c>
      <c r="F56" s="1" t="str">
        <f>HYPERLINK("http://www.ncbi.nlm.nih.gov/pubmed/?term=H2-Oa","H2-Oa")</f>
        <v>H2-Oa</v>
      </c>
    </row>
    <row r="57" spans="1:6" x14ac:dyDescent="0.25">
      <c r="A57" t="s">
        <v>529</v>
      </c>
      <c r="B57" t="s">
        <v>1321</v>
      </c>
      <c r="C57" s="50">
        <v>3.3559999999999999</v>
      </c>
      <c r="D57" s="50">
        <v>3.198</v>
      </c>
      <c r="E57" s="5">
        <v>5.0339999999999998</v>
      </c>
      <c r="F57" s="1" t="str">
        <f>HYPERLINK("http://www.ncbi.nlm.nih.gov/pubmed/?term=Traf6","Traf6")</f>
        <v>Traf6</v>
      </c>
    </row>
    <row r="58" spans="1:6" x14ac:dyDescent="0.25">
      <c r="A58" t="s">
        <v>1298</v>
      </c>
      <c r="B58" t="s">
        <v>2007</v>
      </c>
      <c r="C58" s="31">
        <v>5.6059999999999999</v>
      </c>
      <c r="D58" s="5">
        <v>5.4770000000000003</v>
      </c>
      <c r="E58" s="35">
        <v>6.5170000000000003</v>
      </c>
      <c r="F58" s="1" t="str">
        <f>HYPERLINK("http://www.ncbi.nlm.nih.gov/pubmed/?term=Atp6v0b","Atp6v0b")</f>
        <v>Atp6v0b</v>
      </c>
    </row>
    <row r="59" spans="1:6" x14ac:dyDescent="0.25">
      <c r="A59" t="s">
        <v>528</v>
      </c>
      <c r="B59" t="s">
        <v>1739</v>
      </c>
      <c r="C59" s="49">
        <v>10.41</v>
      </c>
      <c r="D59" s="49">
        <v>10.1</v>
      </c>
      <c r="E59" s="43">
        <v>12.37</v>
      </c>
      <c r="F59" s="1" t="str">
        <f>HYPERLINK("http://www.ncbi.nlm.nih.gov/pubmed/?term=H2-Aa","H2-Aa")</f>
        <v>H2-Aa</v>
      </c>
    </row>
    <row r="60" spans="1:6" x14ac:dyDescent="0.25">
      <c r="A60" t="s">
        <v>1974</v>
      </c>
      <c r="B60" t="s">
        <v>1270</v>
      </c>
      <c r="C60" s="43">
        <v>10.67</v>
      </c>
      <c r="D60" s="49">
        <v>10.31</v>
      </c>
      <c r="E60" s="43">
        <v>12.36</v>
      </c>
      <c r="F60" s="1" t="str">
        <f>HYPERLINK("http://www.ncbi.nlm.nih.gov/pubmed/?term=H2-Ab1","H2-Ab1")</f>
        <v>H2-Ab1</v>
      </c>
    </row>
    <row r="61" spans="1:6" x14ac:dyDescent="0.25">
      <c r="A61" t="s">
        <v>1468</v>
      </c>
      <c r="B61" t="s">
        <v>1716</v>
      </c>
      <c r="C61" s="5">
        <v>5.3959999999999999</v>
      </c>
      <c r="D61" s="5">
        <v>5.0060000000000002</v>
      </c>
      <c r="E61" s="35">
        <v>6.9</v>
      </c>
      <c r="F61" s="1" t="str">
        <f>HYPERLINK("http://www.ncbi.nlm.nih.gov/pubmed/?term=H2-DMb1","H2-DMb1")</f>
        <v>H2-DMb1</v>
      </c>
    </row>
    <row r="62" spans="1:6" x14ac:dyDescent="0.25">
      <c r="A62" t="s">
        <v>1660</v>
      </c>
      <c r="B62" t="s">
        <v>2069</v>
      </c>
      <c r="C62" s="44">
        <v>3.8090000000000002</v>
      </c>
      <c r="D62" s="26">
        <v>-1.27</v>
      </c>
      <c r="E62" s="26">
        <v>-1.117</v>
      </c>
      <c r="F62" s="1" t="str">
        <f>HYPERLINK("http://www.ncbi.nlm.nih.gov/pubmed/?term=Itgb2","Itgb2")</f>
        <v>Itgb2</v>
      </c>
    </row>
    <row r="63" spans="1:6" x14ac:dyDescent="0.25">
      <c r="A63" t="s">
        <v>1264</v>
      </c>
      <c r="B63" t="s">
        <v>1221</v>
      </c>
      <c r="C63" s="34">
        <v>9.0220000000000002</v>
      </c>
      <c r="D63" s="35">
        <v>6.65</v>
      </c>
      <c r="E63" s="35">
        <v>6.9980000000000002</v>
      </c>
      <c r="F63" s="1" t="str">
        <f>HYPERLINK("http://www.ncbi.nlm.nih.gov/pubmed/?term=Lamp2","Lamp2")</f>
        <v>Lamp2</v>
      </c>
    </row>
    <row r="64" spans="1:6" x14ac:dyDescent="0.25">
      <c r="A64" t="s">
        <v>1907</v>
      </c>
      <c r="B64" t="s">
        <v>594</v>
      </c>
      <c r="C64" s="35">
        <v>6.91</v>
      </c>
      <c r="D64" s="31">
        <v>6.0519999999999996</v>
      </c>
      <c r="E64" s="31">
        <v>6.492</v>
      </c>
      <c r="F64" s="1" t="str">
        <f>HYPERLINK("http://www.ncbi.nlm.nih.gov/pubmed/?term=Calm3","Calm3")</f>
        <v>Calm3</v>
      </c>
    </row>
    <row r="65" spans="1:6" x14ac:dyDescent="0.25">
      <c r="A65" t="s">
        <v>1176</v>
      </c>
      <c r="B65" t="s">
        <v>1026</v>
      </c>
      <c r="C65" s="5">
        <v>4.641</v>
      </c>
      <c r="D65" s="4">
        <v>2.0179999999999998</v>
      </c>
      <c r="E65" s="44">
        <v>4.173</v>
      </c>
      <c r="F65" s="1" t="str">
        <f>HYPERLINK("http://www.ncbi.nlm.nih.gov/pubmed/?term=Coro1a","Coro1a")</f>
        <v>Coro1a</v>
      </c>
    </row>
    <row r="66" spans="1:6" x14ac:dyDescent="0.25">
      <c r="A66" t="s">
        <v>865</v>
      </c>
      <c r="B66" t="s">
        <v>1044</v>
      </c>
      <c r="C66" s="35">
        <v>6.5350000000000001</v>
      </c>
      <c r="D66" s="5">
        <v>4.9409999999999998</v>
      </c>
      <c r="E66" s="31">
        <v>6.3239999999999998</v>
      </c>
      <c r="F66" s="1" t="str">
        <f>HYPERLINK("http://www.ncbi.nlm.nih.gov/pubmed/?term=H2-DMa","H2-DMa")</f>
        <v>H2-DMa</v>
      </c>
    </row>
    <row r="67" spans="1:6" x14ac:dyDescent="0.25">
      <c r="A67" t="s">
        <v>1734</v>
      </c>
      <c r="B67" t="s">
        <v>388</v>
      </c>
      <c r="C67" s="5">
        <v>4.6269999999999998</v>
      </c>
      <c r="D67" s="50">
        <v>2.9380000000000002</v>
      </c>
      <c r="E67" s="44">
        <v>4.28</v>
      </c>
      <c r="F67" s="1" t="str">
        <f>HYPERLINK("http://www.ncbi.nlm.nih.gov/pubmed/?term=Sphk1","Sphk1")</f>
        <v>Sphk1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/>
  </sheetViews>
  <sheetFormatPr defaultRowHeight="15" x14ac:dyDescent="0.25"/>
  <sheetData>
    <row r="1" spans="1:6" x14ac:dyDescent="0.25">
      <c r="A1" s="11" t="str">
        <f ca="1">HYPERLINK("[" &amp; SUBSTITUTE(LEFT(CELL("filename"),FIND("]",CELL("filename"))),"[","") &amp; "pathways!A1","Go back to pathways")</f>
        <v>Go back to pathways</v>
      </c>
    </row>
    <row r="2" spans="1:6" x14ac:dyDescent="0.25">
      <c r="A2" s="40" t="s">
        <v>927</v>
      </c>
    </row>
    <row r="4" spans="1:6" x14ac:dyDescent="0.25">
      <c r="A4" s="40" t="s">
        <v>1652</v>
      </c>
      <c r="B4" s="40" t="s">
        <v>201</v>
      </c>
      <c r="C4" s="40" t="s">
        <v>2203</v>
      </c>
      <c r="D4" s="40" t="s">
        <v>2204</v>
      </c>
      <c r="E4" s="40" t="s">
        <v>2213</v>
      </c>
      <c r="F4" s="40" t="s">
        <v>804</v>
      </c>
    </row>
    <row r="5" spans="1:6" x14ac:dyDescent="0.25">
      <c r="A5" t="s">
        <v>1709</v>
      </c>
      <c r="B5" t="s">
        <v>2175</v>
      </c>
      <c r="C5" s="36">
        <v>2.2000000000000002</v>
      </c>
      <c r="D5" s="47">
        <v>3.359</v>
      </c>
      <c r="E5" s="47">
        <v>2.7130000000000001</v>
      </c>
      <c r="F5" s="1" t="str">
        <f>HYPERLINK("http://www.ncbi.nlm.nih.gov/pubmed/?term=Itpkc","Itpkc")</f>
        <v>Itpkc</v>
      </c>
    </row>
    <row r="6" spans="1:6" x14ac:dyDescent="0.25">
      <c r="A6" t="s">
        <v>2015</v>
      </c>
      <c r="B6" t="s">
        <v>1322</v>
      </c>
      <c r="C6" s="36">
        <v>2.1160000000000001</v>
      </c>
      <c r="D6" s="43">
        <v>7.1790000000000003</v>
      </c>
      <c r="E6" s="27">
        <v>5.2649999999999997</v>
      </c>
      <c r="F6" s="1" t="str">
        <f>HYPERLINK("http://www.ncbi.nlm.nih.gov/pubmed/?term=Atp2a3","Atp2a3")</f>
        <v>Atp2a3</v>
      </c>
    </row>
    <row r="7" spans="1:6" x14ac:dyDescent="0.25">
      <c r="A7" t="s">
        <v>1748</v>
      </c>
      <c r="B7" t="s">
        <v>45</v>
      </c>
      <c r="C7" s="26">
        <v>-4.4480000000000004</v>
      </c>
      <c r="D7" s="42">
        <v>3.7269999999999999</v>
      </c>
      <c r="E7" s="26">
        <v>-0.52180000000000004</v>
      </c>
      <c r="F7" s="1" t="str">
        <f>HYPERLINK("http://www.ncbi.nlm.nih.gov/pubmed/?term=Adcy2","Adcy2")</f>
        <v>Adcy2</v>
      </c>
    </row>
    <row r="8" spans="1:6" x14ac:dyDescent="0.25">
      <c r="A8" t="s">
        <v>273</v>
      </c>
      <c r="B8" t="s">
        <v>326</v>
      </c>
      <c r="C8" s="36">
        <v>2.0070000000000001</v>
      </c>
      <c r="D8" s="27">
        <v>4.7039999999999997</v>
      </c>
      <c r="E8" s="47">
        <v>3.1</v>
      </c>
      <c r="F8" s="1" t="str">
        <f>HYPERLINK("http://www.ncbi.nlm.nih.gov/pubmed/?term=Pde1b","Pde1b")</f>
        <v>Pde1b</v>
      </c>
    </row>
    <row r="9" spans="1:6" x14ac:dyDescent="0.25">
      <c r="A9" t="s">
        <v>1276</v>
      </c>
      <c r="B9" t="s">
        <v>359</v>
      </c>
      <c r="C9" s="26">
        <v>-3.4340000000000002</v>
      </c>
      <c r="D9" s="47">
        <v>3.3639999999999999</v>
      </c>
      <c r="E9" s="47">
        <v>2.891</v>
      </c>
      <c r="F9" s="1" t="str">
        <f>HYPERLINK("http://www.ncbi.nlm.nih.gov/pubmed/?term=Cacna1h","Cacna1h")</f>
        <v>Cacna1h</v>
      </c>
    </row>
    <row r="10" spans="1:6" x14ac:dyDescent="0.25">
      <c r="A10" t="s">
        <v>58</v>
      </c>
      <c r="B10" t="s">
        <v>882</v>
      </c>
      <c r="C10" s="47">
        <v>2.504</v>
      </c>
      <c r="D10" s="42">
        <v>3.7949999999999999</v>
      </c>
      <c r="E10" s="47">
        <v>3.383</v>
      </c>
      <c r="F10" s="1" t="str">
        <f>HYPERLINK("http://www.ncbi.nlm.nih.gov/pubmed/?term=Plce1","Plce1")</f>
        <v>Plce1</v>
      </c>
    </row>
    <row r="11" spans="1:6" x14ac:dyDescent="0.25">
      <c r="A11" t="s">
        <v>730</v>
      </c>
      <c r="B11" t="s">
        <v>777</v>
      </c>
      <c r="C11" s="36">
        <v>2.1339999999999999</v>
      </c>
      <c r="D11" s="27">
        <v>4.7649999999999997</v>
      </c>
      <c r="E11" s="47">
        <v>2.6150000000000002</v>
      </c>
      <c r="F11" s="1" t="str">
        <f>HYPERLINK("http://www.ncbi.nlm.nih.gov/pubmed/?term=Itpr2","Itpr2")</f>
        <v>Itpr2</v>
      </c>
    </row>
    <row r="12" spans="1:6" x14ac:dyDescent="0.25">
      <c r="A12" t="s">
        <v>2170</v>
      </c>
      <c r="B12" t="s">
        <v>2196</v>
      </c>
      <c r="C12" s="14">
        <v>1.4390000000000001</v>
      </c>
      <c r="D12" s="47">
        <v>3.3290000000000002</v>
      </c>
      <c r="E12" s="36">
        <v>2.3690000000000002</v>
      </c>
      <c r="F12" s="1" t="str">
        <f>HYPERLINK("http://www.ncbi.nlm.nih.gov/pubmed/?term=Slc8a2","Slc8a2")</f>
        <v>Slc8a2</v>
      </c>
    </row>
    <row r="13" spans="1:6" x14ac:dyDescent="0.25">
      <c r="A13" t="s">
        <v>1169</v>
      </c>
      <c r="B13" t="s">
        <v>62</v>
      </c>
      <c r="C13" s="26">
        <v>-2.363</v>
      </c>
      <c r="D13" s="28">
        <v>5.6109999999999998</v>
      </c>
      <c r="E13" s="27">
        <v>5.3639999999999999</v>
      </c>
      <c r="F13" s="1" t="str">
        <f>HYPERLINK("http://www.ncbi.nlm.nih.gov/pubmed/?term=Calm4","Calm4")</f>
        <v>Calm4</v>
      </c>
    </row>
    <row r="14" spans="1:6" x14ac:dyDescent="0.25">
      <c r="A14" t="s">
        <v>276</v>
      </c>
      <c r="B14" t="s">
        <v>1181</v>
      </c>
      <c r="C14" s="47">
        <v>2.7959999999999998</v>
      </c>
      <c r="D14" s="27">
        <v>4.8380000000000001</v>
      </c>
      <c r="E14" s="47">
        <v>3.4089999999999998</v>
      </c>
      <c r="F14" s="1" t="str">
        <f>HYPERLINK("http://www.ncbi.nlm.nih.gov/pubmed/?term=Plcg2","Plcg2")</f>
        <v>Plcg2</v>
      </c>
    </row>
    <row r="15" spans="1:6" x14ac:dyDescent="0.25">
      <c r="A15" t="s">
        <v>1212</v>
      </c>
      <c r="B15" t="s">
        <v>1935</v>
      </c>
      <c r="C15" s="26">
        <v>-0.58730000000000004</v>
      </c>
      <c r="D15" s="28">
        <v>6.1760000000000002</v>
      </c>
      <c r="E15" s="47">
        <v>2.665</v>
      </c>
      <c r="F15" s="1" t="str">
        <f>HYPERLINK("http://www.ncbi.nlm.nih.gov/pubmed/?term=Plcb2","Plcb2")</f>
        <v>Plcb2</v>
      </c>
    </row>
    <row r="16" spans="1:6" x14ac:dyDescent="0.25">
      <c r="A16" t="s">
        <v>1382</v>
      </c>
      <c r="B16" t="s">
        <v>440</v>
      </c>
      <c r="C16" s="26">
        <v>-1.218</v>
      </c>
      <c r="D16" s="42">
        <v>3.7610000000000001</v>
      </c>
      <c r="E16" s="47">
        <v>3.367</v>
      </c>
      <c r="F16" s="1" t="str">
        <f>HYPERLINK("http://www.ncbi.nlm.nih.gov/pubmed/?term=Camk2b","Camk2b")</f>
        <v>Camk2b</v>
      </c>
    </row>
    <row r="17" spans="1:6" x14ac:dyDescent="0.25">
      <c r="A17" t="s">
        <v>2047</v>
      </c>
      <c r="B17" t="s">
        <v>296</v>
      </c>
      <c r="C17" s="26">
        <v>-2.004</v>
      </c>
      <c r="D17" s="26">
        <v>0.45179999999999998</v>
      </c>
      <c r="E17" s="47">
        <v>3.4060000000000001</v>
      </c>
      <c r="F17" s="1" t="str">
        <f>HYPERLINK("http://www.ncbi.nlm.nih.gov/pubmed/?term=Grin2d","Grin2d")</f>
        <v>Grin2d</v>
      </c>
    </row>
    <row r="18" spans="1:6" x14ac:dyDescent="0.25">
      <c r="A18" t="s">
        <v>695</v>
      </c>
      <c r="B18" t="s">
        <v>362</v>
      </c>
      <c r="C18" s="26">
        <v>-1.089</v>
      </c>
      <c r="D18" s="42">
        <v>3.5209999999999999</v>
      </c>
      <c r="E18" s="43">
        <v>6.6840000000000002</v>
      </c>
      <c r="F18" s="1" t="str">
        <f>HYPERLINK("http://www.ncbi.nlm.nih.gov/pubmed/?term=Cacna1b","Cacna1b")</f>
        <v>Cacna1b</v>
      </c>
    </row>
    <row r="19" spans="1:6" x14ac:dyDescent="0.25">
      <c r="A19" t="s">
        <v>1530</v>
      </c>
      <c r="B19" t="s">
        <v>325</v>
      </c>
      <c r="C19" s="14">
        <v>0.5161</v>
      </c>
      <c r="D19" s="42">
        <v>3.52</v>
      </c>
      <c r="E19" s="27">
        <v>5.1020000000000003</v>
      </c>
      <c r="F19" s="1" t="str">
        <f>HYPERLINK("http://www.ncbi.nlm.nih.gov/pubmed/?term=Pde1c","Pde1c")</f>
        <v>Pde1c</v>
      </c>
    </row>
    <row r="20" spans="1:6" x14ac:dyDescent="0.25">
      <c r="A20" t="s">
        <v>1870</v>
      </c>
      <c r="B20" t="s">
        <v>763</v>
      </c>
      <c r="C20" s="36">
        <v>2.1680000000000001</v>
      </c>
      <c r="D20" s="42">
        <v>3.6230000000000002</v>
      </c>
      <c r="E20" s="42">
        <v>4.0739999999999998</v>
      </c>
      <c r="F20" s="1" t="str">
        <f>HYPERLINK("http://www.ncbi.nlm.nih.gov/pubmed/?term=Adora2a","Adora2a")</f>
        <v>Adora2a</v>
      </c>
    </row>
    <row r="21" spans="1:6" x14ac:dyDescent="0.25">
      <c r="A21" t="s">
        <v>299</v>
      </c>
      <c r="B21" t="s">
        <v>293</v>
      </c>
      <c r="C21" s="26">
        <v>-0.69020000000000004</v>
      </c>
      <c r="D21" s="14">
        <v>1.2450000000000001</v>
      </c>
      <c r="E21" s="28">
        <v>6.4189999999999996</v>
      </c>
      <c r="F21" s="1" t="str">
        <f>HYPERLINK("http://www.ncbi.nlm.nih.gov/pubmed/?term=Grin2c","Grin2c")</f>
        <v>Grin2c</v>
      </c>
    </row>
    <row r="22" spans="1:6" x14ac:dyDescent="0.25">
      <c r="A22" t="s">
        <v>1173</v>
      </c>
      <c r="B22" t="s">
        <v>1060</v>
      </c>
      <c r="C22" s="26">
        <v>-1.2470000000000001</v>
      </c>
      <c r="D22" s="36">
        <v>2.052</v>
      </c>
      <c r="E22" s="43">
        <v>7.4489999999999998</v>
      </c>
      <c r="F22" s="1" t="str">
        <f>HYPERLINK("http://www.ncbi.nlm.nih.gov/pubmed/?term=Nos2","Nos2")</f>
        <v>Nos2</v>
      </c>
    </row>
    <row r="23" spans="1:6" x14ac:dyDescent="0.25">
      <c r="A23" t="s">
        <v>1089</v>
      </c>
      <c r="B23" t="s">
        <v>184</v>
      </c>
      <c r="C23" s="14">
        <v>1.4219999999999999</v>
      </c>
      <c r="D23" s="36">
        <v>2.3879999999999999</v>
      </c>
      <c r="E23" s="47">
        <v>3.488</v>
      </c>
      <c r="F23" s="1" t="str">
        <f>HYPERLINK("http://www.ncbi.nlm.nih.gov/pubmed/?term=Bdkrb2","Bdkrb2")</f>
        <v>Bdkrb2</v>
      </c>
    </row>
    <row r="24" spans="1:6" x14ac:dyDescent="0.25">
      <c r="A24" t="s">
        <v>1640</v>
      </c>
      <c r="B24" t="s">
        <v>1079</v>
      </c>
      <c r="C24" s="26">
        <v>4.2590000000000003E-2</v>
      </c>
      <c r="D24" s="42">
        <v>4.2629999999999999</v>
      </c>
      <c r="E24" s="28">
        <v>6.1630000000000003</v>
      </c>
      <c r="F24" s="1" t="str">
        <f>HYPERLINK("http://www.ncbi.nlm.nih.gov/pubmed/?term=Htr7","Htr7")</f>
        <v>Htr7</v>
      </c>
    </row>
    <row r="25" spans="1:6" x14ac:dyDescent="0.25">
      <c r="A25" t="s">
        <v>224</v>
      </c>
      <c r="B25" t="s">
        <v>67</v>
      </c>
      <c r="C25" s="26">
        <v>-1.9510000000000001</v>
      </c>
      <c r="D25" s="26">
        <v>-0.56950000000000001</v>
      </c>
      <c r="E25" s="42">
        <v>3.9950000000000001</v>
      </c>
      <c r="F25" s="1" t="str">
        <f>HYPERLINK("http://www.ncbi.nlm.nih.gov/pubmed/?term=P2rx3","P2rx3")</f>
        <v>P2rx3</v>
      </c>
    </row>
    <row r="26" spans="1:6" x14ac:dyDescent="0.25">
      <c r="A26" t="s">
        <v>932</v>
      </c>
      <c r="B26" t="s">
        <v>68</v>
      </c>
      <c r="C26" s="47">
        <v>2.8740000000000001</v>
      </c>
      <c r="D26" s="42">
        <v>3.9620000000000002</v>
      </c>
      <c r="E26" s="28">
        <v>6.3</v>
      </c>
      <c r="F26" s="1" t="str">
        <f>HYPERLINK("http://www.ncbi.nlm.nih.gov/pubmed/?term=P2rx4","P2rx4")</f>
        <v>P2rx4</v>
      </c>
    </row>
    <row r="27" spans="1:6" x14ac:dyDescent="0.25">
      <c r="A27" t="s">
        <v>2050</v>
      </c>
      <c r="B27" t="s">
        <v>349</v>
      </c>
      <c r="C27" s="26">
        <v>0.1411</v>
      </c>
      <c r="D27" s="36">
        <v>1.8160000000000001</v>
      </c>
      <c r="E27" s="42">
        <v>3.5009999999999999</v>
      </c>
      <c r="F27" s="1" t="str">
        <f>HYPERLINK("http://www.ncbi.nlm.nih.gov/pubmed/?term=Orai2","Orai2")</f>
        <v>Orai2</v>
      </c>
    </row>
    <row r="28" spans="1:6" x14ac:dyDescent="0.25">
      <c r="A28" t="s">
        <v>1275</v>
      </c>
      <c r="B28" t="s">
        <v>1389</v>
      </c>
      <c r="C28" s="36">
        <v>1.744</v>
      </c>
      <c r="D28" s="47">
        <v>2.7490000000000001</v>
      </c>
      <c r="E28" s="27">
        <v>4.9859999999999998</v>
      </c>
      <c r="F28" s="1" t="str">
        <f>HYPERLINK("http://www.ncbi.nlm.nih.gov/pubmed/?term=Ptger3","Ptger3")</f>
        <v>Ptger3</v>
      </c>
    </row>
    <row r="29" spans="1:6" x14ac:dyDescent="0.25">
      <c r="A29" t="s">
        <v>563</v>
      </c>
      <c r="B29" t="s">
        <v>1292</v>
      </c>
      <c r="C29" s="26">
        <v>-1.407</v>
      </c>
      <c r="D29" s="14">
        <v>1.4219999999999999</v>
      </c>
      <c r="E29" s="42">
        <v>4.0460000000000003</v>
      </c>
      <c r="F29" s="1" t="str">
        <f>HYPERLINK("http://www.ncbi.nlm.nih.gov/pubmed/?term=Bdkrb1","Bdkrb1")</f>
        <v>Bdkrb1</v>
      </c>
    </row>
    <row r="30" spans="1:6" x14ac:dyDescent="0.25">
      <c r="A30" t="s">
        <v>1336</v>
      </c>
      <c r="B30" t="s">
        <v>895</v>
      </c>
      <c r="C30" s="14">
        <v>0.75729999999999997</v>
      </c>
      <c r="D30" s="42">
        <v>4.1239999999999997</v>
      </c>
      <c r="E30" s="43">
        <v>7.1379999999999999</v>
      </c>
      <c r="F30" s="1" t="str">
        <f>HYPERLINK("http://www.ncbi.nlm.nih.gov/pubmed/?term=Ptk2b","Ptk2b")</f>
        <v>Ptk2b</v>
      </c>
    </row>
    <row r="31" spans="1:6" x14ac:dyDescent="0.25">
      <c r="A31" t="s">
        <v>91</v>
      </c>
      <c r="B31" t="s">
        <v>1403</v>
      </c>
      <c r="C31" s="36">
        <v>1.8640000000000001</v>
      </c>
      <c r="D31" s="42">
        <v>3.6930000000000001</v>
      </c>
      <c r="E31" s="27">
        <v>4.968</v>
      </c>
      <c r="F31" s="1" t="str">
        <f>HYPERLINK("http://www.ncbi.nlm.nih.gov/pubmed/?term=Erbb2","Erbb2")</f>
        <v>Erbb2</v>
      </c>
    </row>
    <row r="32" spans="1:6" x14ac:dyDescent="0.25">
      <c r="A32" t="s">
        <v>2124</v>
      </c>
      <c r="B32" t="s">
        <v>2188</v>
      </c>
      <c r="C32" s="26">
        <v>-1.919</v>
      </c>
      <c r="D32" s="28">
        <v>5.5629999999999997</v>
      </c>
      <c r="E32" s="28">
        <v>5.6420000000000003</v>
      </c>
      <c r="F32" s="1" t="str">
        <f>HYPERLINK("http://www.ncbi.nlm.nih.gov/pubmed/?term=Calml3","Calml3")</f>
        <v>Calml3</v>
      </c>
    </row>
    <row r="33" spans="1:6" x14ac:dyDescent="0.25">
      <c r="A33" t="s">
        <v>2108</v>
      </c>
      <c r="B33" t="s">
        <v>1572</v>
      </c>
      <c r="C33" s="14">
        <v>0.61960000000000004</v>
      </c>
      <c r="D33" s="42">
        <v>3.5</v>
      </c>
      <c r="E33" s="26">
        <v>0.2238</v>
      </c>
      <c r="F33" s="1" t="str">
        <f>HYPERLINK("http://www.ncbi.nlm.nih.gov/pubmed/?term=Gna14","Gna14")</f>
        <v>Gna14</v>
      </c>
    </row>
    <row r="34" spans="1:6" x14ac:dyDescent="0.25">
      <c r="A34" t="s">
        <v>686</v>
      </c>
      <c r="B34" t="s">
        <v>593</v>
      </c>
      <c r="C34" s="43">
        <v>7.6289999999999996</v>
      </c>
      <c r="D34" s="43">
        <v>8.4730000000000008</v>
      </c>
      <c r="E34" s="43">
        <v>7.0110000000000001</v>
      </c>
      <c r="F34" s="1" t="str">
        <f>HYPERLINK("http://www.ncbi.nlm.nih.gov/pubmed/?term=Calm2","Calm2")</f>
        <v>Calm2</v>
      </c>
    </row>
    <row r="35" spans="1:6" x14ac:dyDescent="0.25">
      <c r="A35" t="s">
        <v>651</v>
      </c>
      <c r="B35" t="s">
        <v>438</v>
      </c>
      <c r="C35" s="47">
        <v>3.008</v>
      </c>
      <c r="D35" s="42">
        <v>4.3090000000000002</v>
      </c>
      <c r="E35" s="36">
        <v>2.335</v>
      </c>
      <c r="F35" s="1" t="str">
        <f>HYPERLINK("http://www.ncbi.nlm.nih.gov/pubmed/?term=Camk2d","Camk2d")</f>
        <v>Camk2d</v>
      </c>
    </row>
    <row r="36" spans="1:6" x14ac:dyDescent="0.25">
      <c r="A36" t="s">
        <v>1143</v>
      </c>
      <c r="B36" t="s">
        <v>595</v>
      </c>
      <c r="C36" s="43">
        <v>6.7370000000000001</v>
      </c>
      <c r="D36" s="28">
        <v>6.1340000000000003</v>
      </c>
      <c r="E36" s="28">
        <v>5.6020000000000003</v>
      </c>
      <c r="F36" s="1" t="str">
        <f>HYPERLINK("http://www.ncbi.nlm.nih.gov/pubmed/?term=Calm1","Calm1")</f>
        <v>Calm1</v>
      </c>
    </row>
    <row r="37" spans="1:6" x14ac:dyDescent="0.25">
      <c r="A37" t="s">
        <v>1506</v>
      </c>
      <c r="B37" t="s">
        <v>1331</v>
      </c>
      <c r="C37" s="27">
        <v>4.74</v>
      </c>
      <c r="D37" s="42">
        <v>3.9580000000000002</v>
      </c>
      <c r="E37" s="47">
        <v>2.786</v>
      </c>
      <c r="F37" s="1" t="str">
        <f>HYPERLINK("http://www.ncbi.nlm.nih.gov/pubmed/?term=Prkacb","Prkacb")</f>
        <v>Prkacb</v>
      </c>
    </row>
    <row r="38" spans="1:6" x14ac:dyDescent="0.25">
      <c r="A38" t="s">
        <v>1325</v>
      </c>
      <c r="B38" t="s">
        <v>1020</v>
      </c>
      <c r="C38" s="27">
        <v>4.6929999999999996</v>
      </c>
      <c r="D38" s="42">
        <v>3.6240000000000001</v>
      </c>
      <c r="E38" s="36">
        <v>1.9930000000000001</v>
      </c>
      <c r="F38" s="1" t="str">
        <f>HYPERLINK("http://www.ncbi.nlm.nih.gov/pubmed/?term=Plcd1","Plcd1")</f>
        <v>Plcd1</v>
      </c>
    </row>
    <row r="39" spans="1:6" x14ac:dyDescent="0.25">
      <c r="A39" t="s">
        <v>78</v>
      </c>
      <c r="B39" t="s">
        <v>1182</v>
      </c>
      <c r="C39" s="27">
        <v>4.6639999999999997</v>
      </c>
      <c r="D39" s="27">
        <v>4.6269999999999998</v>
      </c>
      <c r="E39" s="47">
        <v>2.9020000000000001</v>
      </c>
      <c r="F39" s="1" t="str">
        <f>HYPERLINK("http://www.ncbi.nlm.nih.gov/pubmed/?term=Plcg1","Plcg1")</f>
        <v>Plcg1</v>
      </c>
    </row>
    <row r="40" spans="1:6" x14ac:dyDescent="0.25">
      <c r="A40" t="s">
        <v>1444</v>
      </c>
      <c r="B40" t="s">
        <v>1417</v>
      </c>
      <c r="C40" s="27">
        <v>4.7190000000000003</v>
      </c>
      <c r="D40" s="42">
        <v>4.1989999999999998</v>
      </c>
      <c r="E40" s="47">
        <v>2.794</v>
      </c>
      <c r="F40" s="1" t="str">
        <f>HYPERLINK("http://www.ncbi.nlm.nih.gov/pubmed/?term=Egfr","Egfr")</f>
        <v>Egfr</v>
      </c>
    </row>
    <row r="41" spans="1:6" x14ac:dyDescent="0.25">
      <c r="A41" t="s">
        <v>175</v>
      </c>
      <c r="B41" t="s">
        <v>181</v>
      </c>
      <c r="C41" s="42">
        <v>4.3949999999999996</v>
      </c>
      <c r="D41" s="26">
        <v>-1.9339999999999999</v>
      </c>
      <c r="E41" s="26">
        <v>-2.569</v>
      </c>
      <c r="F41" s="1" t="str">
        <f>HYPERLINK("http://www.ncbi.nlm.nih.gov/pubmed/?term=Ednrb","Ednrb")</f>
        <v>Ednrb</v>
      </c>
    </row>
    <row r="42" spans="1:6" x14ac:dyDescent="0.25">
      <c r="A42" t="s">
        <v>49</v>
      </c>
      <c r="B42" t="s">
        <v>1564</v>
      </c>
      <c r="C42" s="27">
        <v>4.6529999999999996</v>
      </c>
      <c r="D42" s="42">
        <v>3.782</v>
      </c>
      <c r="E42" s="36">
        <v>2.4590000000000001</v>
      </c>
      <c r="F42" s="1" t="str">
        <f>HYPERLINK("http://www.ncbi.nlm.nih.gov/pubmed/?term=Gnaq","Gnaq")</f>
        <v>Gnaq</v>
      </c>
    </row>
    <row r="43" spans="1:6" x14ac:dyDescent="0.25">
      <c r="A43" t="s">
        <v>2036</v>
      </c>
      <c r="B43" t="s">
        <v>1574</v>
      </c>
      <c r="C43" s="27">
        <v>4.6079999999999997</v>
      </c>
      <c r="D43" s="42">
        <v>3.7130000000000001</v>
      </c>
      <c r="E43" s="47">
        <v>2.661</v>
      </c>
      <c r="F43" s="1" t="str">
        <f>HYPERLINK("http://www.ncbi.nlm.nih.gov/pubmed/?term=Gna11","Gna11")</f>
        <v>Gna11</v>
      </c>
    </row>
    <row r="44" spans="1:6" x14ac:dyDescent="0.25">
      <c r="A44" t="s">
        <v>1546</v>
      </c>
      <c r="B44" t="s">
        <v>518</v>
      </c>
      <c r="C44" s="28">
        <v>5.74</v>
      </c>
      <c r="D44" s="42">
        <v>4.1070000000000002</v>
      </c>
      <c r="E44" s="42">
        <v>3.919</v>
      </c>
      <c r="F44" s="1" t="str">
        <f>HYPERLINK("http://www.ncbi.nlm.nih.gov/pubmed/?term=Camk4","Camk4")</f>
        <v>Camk4</v>
      </c>
    </row>
    <row r="45" spans="1:6" x14ac:dyDescent="0.25">
      <c r="A45" t="s">
        <v>1078</v>
      </c>
      <c r="B45" t="s">
        <v>601</v>
      </c>
      <c r="C45" s="42">
        <v>4.3769999999999998</v>
      </c>
      <c r="D45" s="42">
        <v>3.9630000000000001</v>
      </c>
      <c r="E45" s="47">
        <v>2.7989999999999999</v>
      </c>
      <c r="F45" s="1" t="str">
        <f>HYPERLINK("http://www.ncbi.nlm.nih.gov/pubmed/?term=Stim2","Stim2")</f>
        <v>Stim2</v>
      </c>
    </row>
    <row r="46" spans="1:6" x14ac:dyDescent="0.25">
      <c r="A46" t="s">
        <v>372</v>
      </c>
      <c r="B46" t="s">
        <v>269</v>
      </c>
      <c r="C46" s="42">
        <v>4.2910000000000004</v>
      </c>
      <c r="D46" s="47">
        <v>2.972</v>
      </c>
      <c r="E46" s="14">
        <v>1.03</v>
      </c>
      <c r="F46" s="1" t="str">
        <f>HYPERLINK("http://www.ncbi.nlm.nih.gov/pubmed/?term=F2r","F2r")</f>
        <v>F2r</v>
      </c>
    </row>
    <row r="47" spans="1:6" x14ac:dyDescent="0.25">
      <c r="A47" t="s">
        <v>482</v>
      </c>
      <c r="B47" t="s">
        <v>44</v>
      </c>
      <c r="C47" s="26">
        <v>7.9680000000000001E-2</v>
      </c>
      <c r="D47" s="26">
        <v>-0.70120000000000005</v>
      </c>
      <c r="E47" s="42">
        <v>3.97</v>
      </c>
      <c r="F47" s="1" t="str">
        <f>HYPERLINK("http://www.ncbi.nlm.nih.gov/pubmed/?term=Adcy1","Adcy1")</f>
        <v>Adcy1</v>
      </c>
    </row>
    <row r="48" spans="1:6" x14ac:dyDescent="0.25">
      <c r="A48" t="s">
        <v>1054</v>
      </c>
      <c r="B48" t="s">
        <v>1167</v>
      </c>
      <c r="C48" s="42">
        <v>3.7650000000000001</v>
      </c>
      <c r="D48" s="47">
        <v>2.75</v>
      </c>
      <c r="E48" s="27">
        <v>4.742</v>
      </c>
      <c r="F48" s="1" t="str">
        <f>HYPERLINK("http://www.ncbi.nlm.nih.gov/pubmed/?term=Atp2b4","Atp2b4")</f>
        <v>Atp2b4</v>
      </c>
    </row>
    <row r="49" spans="1:6" x14ac:dyDescent="0.25">
      <c r="A49" t="s">
        <v>2122</v>
      </c>
      <c r="B49" t="s">
        <v>1577</v>
      </c>
      <c r="C49" s="42">
        <v>3.9689999999999999</v>
      </c>
      <c r="D49" s="42">
        <v>3.7080000000000002</v>
      </c>
      <c r="E49" s="28">
        <v>5.8029999999999999</v>
      </c>
      <c r="F49" s="1" t="str">
        <f>HYPERLINK("http://www.ncbi.nlm.nih.gov/pubmed/?term=Cysltr2","Cysltr2")</f>
        <v>Cysltr2</v>
      </c>
    </row>
    <row r="50" spans="1:6" x14ac:dyDescent="0.25">
      <c r="A50" t="s">
        <v>973</v>
      </c>
      <c r="B50" t="s">
        <v>1936</v>
      </c>
      <c r="C50" s="27">
        <v>4.9489999999999998</v>
      </c>
      <c r="D50" s="42">
        <v>4.2130000000000001</v>
      </c>
      <c r="E50" s="28">
        <v>5.6050000000000004</v>
      </c>
      <c r="F50" s="1" t="str">
        <f>HYPERLINK("http://www.ncbi.nlm.nih.gov/pubmed/?term=Plcb4","Plcb4")</f>
        <v>Plcb4</v>
      </c>
    </row>
    <row r="51" spans="1:6" x14ac:dyDescent="0.25">
      <c r="A51" t="s">
        <v>1880</v>
      </c>
      <c r="B51" t="s">
        <v>1077</v>
      </c>
      <c r="C51" s="42">
        <v>3.6549999999999998</v>
      </c>
      <c r="D51" s="47">
        <v>3.3140000000000001</v>
      </c>
      <c r="E51" s="28">
        <v>6.2270000000000003</v>
      </c>
      <c r="F51" s="1" t="str">
        <f>HYPERLINK("http://www.ncbi.nlm.nih.gov/pubmed/?term=Prkca","Prkca")</f>
        <v>Prkca</v>
      </c>
    </row>
    <row r="52" spans="1:6" x14ac:dyDescent="0.25">
      <c r="A52" t="s">
        <v>1907</v>
      </c>
      <c r="B52" t="s">
        <v>594</v>
      </c>
      <c r="C52" s="43">
        <v>6.91</v>
      </c>
      <c r="D52" s="28">
        <v>6.0519999999999996</v>
      </c>
      <c r="E52" s="28">
        <v>6.492</v>
      </c>
      <c r="F52" s="1" t="str">
        <f>HYPERLINK("http://www.ncbi.nlm.nih.gov/pubmed/?term=Calm3","Calm3")</f>
        <v>Calm3</v>
      </c>
    </row>
    <row r="53" spans="1:6" x14ac:dyDescent="0.25">
      <c r="A53" t="s">
        <v>839</v>
      </c>
      <c r="B53" t="s">
        <v>1858</v>
      </c>
      <c r="C53" s="27">
        <v>4.83</v>
      </c>
      <c r="D53" s="36">
        <v>1.522</v>
      </c>
      <c r="E53" s="36">
        <v>1.887</v>
      </c>
      <c r="F53" s="1" t="str">
        <f>HYPERLINK("http://www.ncbi.nlm.nih.gov/pubmed/?term=Mylk","Mylk")</f>
        <v>Mylk</v>
      </c>
    </row>
    <row r="54" spans="1:6" x14ac:dyDescent="0.25">
      <c r="A54" t="s">
        <v>900</v>
      </c>
      <c r="B54" t="s">
        <v>1938</v>
      </c>
      <c r="C54" s="43">
        <v>7.6870000000000003</v>
      </c>
      <c r="D54" s="28">
        <v>6.3120000000000003</v>
      </c>
      <c r="E54" s="43">
        <v>6.6520000000000001</v>
      </c>
      <c r="F54" s="1" t="str">
        <f>HYPERLINK("http://www.ncbi.nlm.nih.gov/pubmed/?term=Slc25a4","Slc25a4")</f>
        <v>Slc25a4</v>
      </c>
    </row>
    <row r="55" spans="1:6" x14ac:dyDescent="0.25">
      <c r="A55" t="s">
        <v>1734</v>
      </c>
      <c r="B55" t="s">
        <v>388</v>
      </c>
      <c r="C55" s="27">
        <v>4.6269999999999998</v>
      </c>
      <c r="D55" s="47">
        <v>2.9380000000000002</v>
      </c>
      <c r="E55" s="42">
        <v>4.28</v>
      </c>
      <c r="F55" s="1" t="str">
        <f>HYPERLINK("http://www.ncbi.nlm.nih.gov/pubmed/?term=Sphk1","Sphk1")</f>
        <v>Sphk1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120</vt:i4>
      </vt:variant>
    </vt:vector>
  </HeadingPairs>
  <TitlesOfParts>
    <vt:vector size="120" baseType="lpstr">
      <vt:lpstr>pathways</vt:lpstr>
      <vt:lpstr>mmu05200</vt:lpstr>
      <vt:lpstr>mmu05203</vt:lpstr>
      <vt:lpstr>mmu04920</vt:lpstr>
      <vt:lpstr>mmu00071</vt:lpstr>
      <vt:lpstr>mmu04640</vt:lpstr>
      <vt:lpstr>mmu04370</vt:lpstr>
      <vt:lpstr>mmu00460</vt:lpstr>
      <vt:lpstr>mmu05219</vt:lpstr>
      <vt:lpstr>mmu05212</vt:lpstr>
      <vt:lpstr>mmu05211</vt:lpstr>
      <vt:lpstr>mmu05210</vt:lpstr>
      <vt:lpstr>mmu05214</vt:lpstr>
      <vt:lpstr>mmu00750</vt:lpstr>
      <vt:lpstr>mmu00900</vt:lpstr>
      <vt:lpstr>mmu04930</vt:lpstr>
      <vt:lpstr>mmu04672</vt:lpstr>
      <vt:lpstr>mmu05164</vt:lpstr>
      <vt:lpstr>mmu04670</vt:lpstr>
      <vt:lpstr>mmu05166</vt:lpstr>
      <vt:lpstr>mmu05161</vt:lpstr>
      <vt:lpstr>mmu05160</vt:lpstr>
      <vt:lpstr>mmu05162</vt:lpstr>
      <vt:lpstr>mmu05169</vt:lpstr>
      <vt:lpstr>mmu00062</vt:lpstr>
      <vt:lpstr>mmu04070</vt:lpstr>
      <vt:lpstr>mmu00512</vt:lpstr>
      <vt:lpstr>mmu00340</vt:lpstr>
      <vt:lpstr>mmu00510</vt:lpstr>
      <vt:lpstr>mmu05168</vt:lpstr>
      <vt:lpstr>mmu05020</vt:lpstr>
      <vt:lpstr>mmu04512</vt:lpstr>
      <vt:lpstr>mmu04510</vt:lpstr>
      <vt:lpstr>mmu05222</vt:lpstr>
      <vt:lpstr>mmu05220</vt:lpstr>
      <vt:lpstr>mmu04514</vt:lpstr>
      <vt:lpstr>mmu00603</vt:lpstr>
      <vt:lpstr>mmu00600</vt:lpstr>
      <vt:lpstr>mmu00052</vt:lpstr>
      <vt:lpstr>mmu04664</vt:lpstr>
      <vt:lpstr>mmu00280</vt:lpstr>
      <vt:lpstr>mmu04660</vt:lpstr>
      <vt:lpstr>mmu04662</vt:lpstr>
      <vt:lpstr>mmu04940</vt:lpstr>
      <vt:lpstr>mmu00520</vt:lpstr>
      <vt:lpstr>mmu04062</vt:lpstr>
      <vt:lpstr>mmu04060</vt:lpstr>
      <vt:lpstr>mmu04210</vt:lpstr>
      <vt:lpstr>mmu04066</vt:lpstr>
      <vt:lpstr>mmu04064</vt:lpstr>
      <vt:lpstr>mmu04724</vt:lpstr>
      <vt:lpstr>mmu04725</vt:lpstr>
      <vt:lpstr>mmu04727</vt:lpstr>
      <vt:lpstr>mmu04720</vt:lpstr>
      <vt:lpstr>mmu05032</vt:lpstr>
      <vt:lpstr>mmu04722</vt:lpstr>
      <vt:lpstr>mmu05330</vt:lpstr>
      <vt:lpstr>mmu05332</vt:lpstr>
      <vt:lpstr>mmu04728</vt:lpstr>
      <vt:lpstr>mmu04520</vt:lpstr>
      <vt:lpstr>mmu00630</vt:lpstr>
      <vt:lpstr>mmu03050</vt:lpstr>
      <vt:lpstr>mmu04810</vt:lpstr>
      <vt:lpstr>mmu04115</vt:lpstr>
      <vt:lpstr>mmu04612</vt:lpstr>
      <vt:lpstr>mmu04320</vt:lpstr>
      <vt:lpstr>mmu05340</vt:lpstr>
      <vt:lpstr>mmu04530</vt:lpstr>
      <vt:lpstr>mmu05323</vt:lpstr>
      <vt:lpstr>mmu05320</vt:lpstr>
      <vt:lpstr>mmu00260</vt:lpstr>
      <vt:lpstr>mmu00620</vt:lpstr>
      <vt:lpstr>mmu04961</vt:lpstr>
      <vt:lpstr>mmu04964</vt:lpstr>
      <vt:lpstr>mmu00330</vt:lpstr>
      <vt:lpstr>mmu05134</vt:lpstr>
      <vt:lpstr>mmu05133</vt:lpstr>
      <vt:lpstr>mmu04330</vt:lpstr>
      <vt:lpstr>mmu05310</vt:lpstr>
      <vt:lpstr>mmu04971</vt:lpstr>
      <vt:lpstr>mmu04970</vt:lpstr>
      <vt:lpstr>mmu04972</vt:lpstr>
      <vt:lpstr>mmu04380</vt:lpstr>
      <vt:lpstr>mmu04978</vt:lpstr>
      <vt:lpstr>mmu00410</vt:lpstr>
      <vt:lpstr>mmu04630</vt:lpstr>
      <vt:lpstr>mmu05416</vt:lpstr>
      <vt:lpstr>mmu00380</vt:lpstr>
      <vt:lpstr>mmu05031</vt:lpstr>
      <vt:lpstr>mmu05143</vt:lpstr>
      <vt:lpstr>mmu00480</vt:lpstr>
      <vt:lpstr>mmu00640</vt:lpstr>
      <vt:lpstr>mmu04621</vt:lpstr>
      <vt:lpstr>mmu04620</vt:lpstr>
      <vt:lpstr>mmu04623</vt:lpstr>
      <vt:lpstr>mmu04622</vt:lpstr>
      <vt:lpstr>mmu05150</vt:lpstr>
      <vt:lpstr>mmu05152</vt:lpstr>
      <vt:lpstr>mmu04020</vt:lpstr>
      <vt:lpstr>mmu04142</vt:lpstr>
      <vt:lpstr>mmu04144</vt:lpstr>
      <vt:lpstr>mmu00010</vt:lpstr>
      <vt:lpstr>mmu00564</vt:lpstr>
      <vt:lpstr>mmu00565</vt:lpstr>
      <vt:lpstr>mmu00562</vt:lpstr>
      <vt:lpstr>mmu04666</vt:lpstr>
      <vt:lpstr>mmu04012</vt:lpstr>
      <vt:lpstr>mmu04916</vt:lpstr>
      <vt:lpstr>mmu04010</vt:lpstr>
      <vt:lpstr>mmu04912</vt:lpstr>
      <vt:lpstr>mmu04910</vt:lpstr>
      <vt:lpstr>mmu05146</vt:lpstr>
      <vt:lpstr>mmu05145</vt:lpstr>
      <vt:lpstr>mmu05144</vt:lpstr>
      <vt:lpstr>mmu04650</vt:lpstr>
      <vt:lpstr>mmu05142</vt:lpstr>
      <vt:lpstr>mmu05140</vt:lpstr>
      <vt:lpstr>mmu00360</vt:lpstr>
      <vt:lpstr>mmu04360</vt:lpstr>
      <vt:lpstr>mmu04713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stephens</cp:lastModifiedBy>
  <dcterms:created xsi:type="dcterms:W3CDTF">2013-07-31T15:23:50Z</dcterms:created>
  <dcterms:modified xsi:type="dcterms:W3CDTF">2014-08-15T16:55:35Z</dcterms:modified>
</cp:coreProperties>
</file>