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1840" windowHeight="13740"/>
  </bookViews>
  <sheets>
    <sheet name="Sheet1" sheetId="1" r:id="rId1"/>
    <sheet name="Sheet2" sheetId="3" r:id="rId2"/>
  </sheets>
  <definedNames>
    <definedName name="_xlnm.Print_Area" localSheetId="0">Sheet1!$A$1:$T$438</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6" i="1" l="1"/>
  <c r="G412" i="1"/>
  <c r="G323" i="1"/>
  <c r="G315" i="1"/>
  <c r="G337" i="1"/>
  <c r="G431" i="1"/>
  <c r="G429" i="1"/>
  <c r="G347" i="1"/>
  <c r="G387" i="1"/>
  <c r="G361" i="1"/>
  <c r="G363" i="1"/>
  <c r="G434" i="1"/>
  <c r="G432" i="1"/>
  <c r="G399" i="1"/>
  <c r="G433" i="1"/>
  <c r="G427" i="1"/>
  <c r="G428" i="1"/>
  <c r="G430" i="1"/>
  <c r="G391" i="1"/>
  <c r="G420" i="1"/>
  <c r="G403" i="1"/>
  <c r="G419" i="1"/>
  <c r="G415" i="1"/>
  <c r="G424" i="1"/>
  <c r="G390" i="1"/>
  <c r="G414" i="1"/>
  <c r="G375" i="1"/>
  <c r="G362" i="1"/>
  <c r="G327" i="1"/>
  <c r="G348" i="1"/>
  <c r="G398" i="1"/>
  <c r="G351" i="1"/>
  <c r="G408" i="1"/>
  <c r="G325" i="1"/>
  <c r="G287" i="1"/>
  <c r="G381" i="1"/>
  <c r="G329" i="1"/>
  <c r="G384" i="1"/>
  <c r="G259" i="1"/>
  <c r="G340" i="1"/>
  <c r="G328" i="1"/>
  <c r="G359" i="1"/>
  <c r="G365" i="1"/>
  <c r="G413" i="1"/>
  <c r="G275" i="1"/>
  <c r="G350" i="1"/>
  <c r="G285" i="1"/>
  <c r="G270" i="1"/>
  <c r="G282" i="1"/>
  <c r="G305" i="1"/>
  <c r="G257" i="1"/>
  <c r="G304" i="1"/>
  <c r="G290" i="1"/>
  <c r="G392" i="1"/>
  <c r="G346" i="1"/>
  <c r="G273" i="1"/>
  <c r="G364" i="1"/>
  <c r="G331" i="1"/>
  <c r="G386" i="1"/>
  <c r="G402" i="1"/>
  <c r="G284" i="1"/>
  <c r="G379" i="1"/>
  <c r="G272" i="1"/>
  <c r="G380" i="1"/>
  <c r="G316" i="1"/>
  <c r="G378" i="1"/>
  <c r="G436" i="1"/>
  <c r="G338" i="1"/>
  <c r="G320" i="1"/>
  <c r="G389" i="1"/>
  <c r="G421" i="1"/>
  <c r="G268" i="1"/>
  <c r="G321" i="1"/>
  <c r="G411" i="1"/>
  <c r="G400" i="1"/>
  <c r="G366" i="1"/>
  <c r="G418" i="1"/>
  <c r="G405" i="1"/>
  <c r="G298" i="1"/>
  <c r="G342" i="1"/>
  <c r="G388" i="1"/>
  <c r="G372" i="1"/>
  <c r="G294" i="1"/>
  <c r="G401" i="1"/>
  <c r="G406" i="1"/>
  <c r="G318" i="1"/>
  <c r="G293" i="1"/>
  <c r="G393" i="1"/>
  <c r="G373" i="1"/>
  <c r="G376" i="1"/>
  <c r="G307" i="1"/>
  <c r="G306" i="1"/>
  <c r="G333" i="1"/>
  <c r="G295" i="1"/>
  <c r="G370" i="1"/>
  <c r="G355" i="1"/>
  <c r="G383" i="1"/>
  <c r="G349" i="1"/>
  <c r="G302" i="1"/>
  <c r="G324" i="1"/>
  <c r="G310" i="1"/>
  <c r="G360" i="1"/>
  <c r="G300" i="1"/>
  <c r="G369" i="1"/>
  <c r="G335" i="1"/>
  <c r="G278" i="1"/>
  <c r="G339" i="1"/>
  <c r="G374" i="1"/>
  <c r="G289" i="1"/>
  <c r="G377" i="1"/>
  <c r="G385" i="1"/>
  <c r="G317" i="1"/>
  <c r="G352" i="1"/>
  <c r="G334" i="1"/>
  <c r="G397" i="1"/>
  <c r="G396" i="1"/>
  <c r="G308" i="1"/>
  <c r="G353" i="1"/>
  <c r="G312" i="1"/>
  <c r="G286" i="1"/>
  <c r="G332" i="1"/>
  <c r="G283" i="1"/>
  <c r="G326" i="1"/>
  <c r="G303" i="1"/>
  <c r="G343" i="1"/>
  <c r="G394" i="1"/>
  <c r="G357" i="1"/>
  <c r="G368" i="1"/>
  <c r="G296" i="1"/>
  <c r="G422" i="1"/>
  <c r="G354" i="1"/>
  <c r="G358" i="1"/>
  <c r="G292" i="1"/>
  <c r="G367" i="1"/>
  <c r="G423" i="1"/>
  <c r="G344" i="1"/>
  <c r="G371" i="1"/>
  <c r="G416" i="1"/>
  <c r="G252" i="1"/>
  <c r="G297" i="1"/>
  <c r="G407" i="1"/>
  <c r="G267" i="1"/>
  <c r="G255" i="1"/>
  <c r="G277" i="1"/>
  <c r="G313" i="1"/>
  <c r="G356" i="1"/>
  <c r="G299" i="1"/>
  <c r="G336" i="1"/>
  <c r="G271" i="1"/>
  <c r="G404" i="1"/>
  <c r="G341" i="1"/>
  <c r="G395" i="1"/>
  <c r="G345" i="1"/>
  <c r="G269" i="1"/>
  <c r="G281" i="1"/>
  <c r="G319" i="1"/>
  <c r="G322" i="1"/>
  <c r="G311" i="1"/>
  <c r="G417" i="1"/>
  <c r="G435" i="1"/>
  <c r="G409" i="1"/>
  <c r="G291" i="1"/>
  <c r="G382" i="1"/>
  <c r="G330" i="1"/>
  <c r="G410" i="1"/>
  <c r="G314" i="1"/>
  <c r="G301" i="1"/>
  <c r="G426" i="1"/>
  <c r="G425" i="1"/>
  <c r="G262" i="1"/>
  <c r="G254" i="1"/>
  <c r="G276" i="1"/>
  <c r="G264" i="1"/>
  <c r="G309" i="1"/>
  <c r="G260" i="1"/>
  <c r="G258" i="1"/>
  <c r="G18" i="1"/>
  <c r="G263" i="1"/>
  <c r="G266" i="1"/>
  <c r="G251" i="1"/>
  <c r="G288" i="1"/>
  <c r="G274" i="1"/>
  <c r="G279" i="1"/>
  <c r="G250" i="1"/>
  <c r="G256" i="1"/>
  <c r="G249" i="1"/>
  <c r="G280" i="1"/>
  <c r="G8" i="1"/>
  <c r="G247" i="1"/>
  <c r="G240" i="1"/>
  <c r="G242" i="1"/>
  <c r="G265" i="1"/>
  <c r="G253" i="1"/>
  <c r="G246" i="1"/>
  <c r="G241" i="1"/>
  <c r="G236" i="1"/>
  <c r="G261" i="1"/>
  <c r="G174" i="1"/>
  <c r="G245" i="1"/>
  <c r="G243" i="1"/>
  <c r="G244" i="1"/>
  <c r="G137" i="1"/>
  <c r="G235" i="1"/>
  <c r="G239" i="1"/>
  <c r="G238" i="1"/>
  <c r="G248" i="1"/>
  <c r="G167" i="1"/>
  <c r="G232" i="1"/>
  <c r="G228" i="1"/>
  <c r="G229" i="1"/>
  <c r="G233" i="1"/>
  <c r="G226" i="1"/>
  <c r="G223" i="1"/>
  <c r="G185" i="1"/>
  <c r="G186" i="1"/>
  <c r="G234" i="1"/>
  <c r="G224" i="1"/>
  <c r="G227" i="1"/>
  <c r="G225" i="1"/>
  <c r="G74" i="1"/>
  <c r="G40" i="1"/>
  <c r="G231" i="1"/>
  <c r="G221" i="1"/>
  <c r="G237" i="1"/>
  <c r="G218" i="1"/>
  <c r="G215" i="1"/>
  <c r="G230" i="1"/>
  <c r="G212" i="1"/>
  <c r="G206" i="1"/>
  <c r="G164" i="1"/>
  <c r="G177" i="1"/>
  <c r="G201" i="1"/>
  <c r="G190" i="1"/>
  <c r="G195" i="1"/>
  <c r="G83" i="1"/>
  <c r="G60" i="1"/>
  <c r="G58" i="1"/>
  <c r="G7" i="1"/>
  <c r="G222" i="1"/>
  <c r="G219" i="1"/>
  <c r="G213" i="1"/>
  <c r="G214" i="1"/>
  <c r="G209" i="1"/>
  <c r="G216" i="1"/>
  <c r="G217" i="1"/>
  <c r="G198" i="1"/>
  <c r="G203" i="1"/>
  <c r="G210" i="1"/>
  <c r="G192" i="1"/>
  <c r="G194" i="1"/>
  <c r="G162" i="1"/>
  <c r="G140" i="1"/>
  <c r="G16" i="1"/>
  <c r="G35" i="1"/>
  <c r="G204" i="1"/>
  <c r="G205" i="1"/>
  <c r="G208" i="1"/>
  <c r="G202" i="1"/>
  <c r="G207" i="1"/>
  <c r="G182" i="1"/>
  <c r="G200" i="1"/>
  <c r="G220" i="1"/>
  <c r="G197" i="1"/>
  <c r="G211" i="1"/>
  <c r="G191" i="1"/>
  <c r="G199" i="1"/>
  <c r="G193" i="1"/>
  <c r="G179" i="1"/>
  <c r="G187" i="1"/>
  <c r="G188" i="1"/>
  <c r="G183" i="1"/>
  <c r="G178" i="1"/>
  <c r="G189" i="1"/>
  <c r="G173" i="1"/>
  <c r="G180" i="1"/>
  <c r="G176" i="1"/>
  <c r="G172" i="1"/>
  <c r="G153" i="1"/>
  <c r="G196" i="1"/>
  <c r="G160" i="1"/>
  <c r="G157" i="1"/>
  <c r="G166" i="1"/>
  <c r="G171" i="1"/>
  <c r="G184" i="1"/>
  <c r="G158" i="1"/>
  <c r="G181" i="1"/>
  <c r="G151" i="1"/>
  <c r="G165" i="1"/>
  <c r="G170" i="1"/>
  <c r="G159" i="1"/>
  <c r="G147" i="1"/>
  <c r="G145" i="1"/>
  <c r="G136" i="1"/>
  <c r="G169" i="1"/>
  <c r="G163" i="1"/>
  <c r="G129" i="1"/>
  <c r="G150" i="1"/>
  <c r="G155" i="1"/>
  <c r="G156" i="1"/>
  <c r="G152" i="1"/>
  <c r="G161" i="1"/>
  <c r="G168" i="1"/>
  <c r="G146" i="1"/>
  <c r="G144" i="1"/>
  <c r="G127" i="1"/>
  <c r="G132" i="1"/>
  <c r="G149" i="1"/>
  <c r="G148" i="1"/>
  <c r="G113" i="1"/>
  <c r="G154" i="1"/>
  <c r="G130" i="1"/>
  <c r="G141" i="1"/>
  <c r="G142" i="1"/>
  <c r="G125" i="1"/>
  <c r="G135" i="1"/>
  <c r="G128" i="1"/>
  <c r="G124" i="1"/>
  <c r="G134" i="1"/>
  <c r="G118" i="1"/>
  <c r="G138" i="1"/>
  <c r="G120" i="1"/>
  <c r="G119" i="1"/>
  <c r="G131" i="1"/>
  <c r="G108" i="1"/>
  <c r="G114" i="1"/>
  <c r="G133" i="1"/>
  <c r="G143" i="1"/>
  <c r="G126" i="1"/>
  <c r="G175" i="1"/>
  <c r="G117" i="1"/>
  <c r="G103" i="1"/>
  <c r="G101" i="1"/>
  <c r="G111" i="1"/>
  <c r="G105" i="1"/>
  <c r="G99" i="1"/>
  <c r="G123" i="1"/>
  <c r="G112" i="1"/>
  <c r="G115" i="1"/>
  <c r="G121" i="1"/>
  <c r="G109" i="1"/>
  <c r="G106" i="1"/>
  <c r="G100" i="1"/>
  <c r="G122" i="1"/>
  <c r="G107" i="1"/>
  <c r="G94" i="1"/>
  <c r="G110" i="1"/>
  <c r="G104" i="1"/>
  <c r="G96" i="1"/>
  <c r="G93" i="1"/>
  <c r="G116" i="1"/>
  <c r="G91" i="1"/>
  <c r="G85" i="1"/>
  <c r="G102" i="1"/>
  <c r="G84" i="1"/>
  <c r="G88" i="1"/>
  <c r="G86" i="1"/>
  <c r="G98" i="1"/>
  <c r="G80" i="1"/>
  <c r="G75" i="1"/>
  <c r="G139" i="1"/>
  <c r="G73" i="1"/>
  <c r="G95" i="1"/>
  <c r="G92" i="1"/>
  <c r="G69" i="1"/>
  <c r="G89" i="1"/>
  <c r="G81" i="1"/>
  <c r="G87" i="1"/>
  <c r="G65" i="1"/>
  <c r="G79" i="1"/>
  <c r="G97" i="1"/>
  <c r="G71" i="1"/>
  <c r="G66" i="1"/>
  <c r="G63" i="1"/>
  <c r="G90" i="1"/>
  <c r="G68" i="1"/>
  <c r="G76" i="1"/>
  <c r="G77" i="1"/>
  <c r="G70" i="1"/>
  <c r="G64" i="1"/>
  <c r="G53" i="1"/>
  <c r="G56" i="1"/>
  <c r="G51" i="1"/>
  <c r="G41" i="1"/>
  <c r="G72" i="1"/>
  <c r="G50" i="1"/>
  <c r="G62" i="1"/>
  <c r="G43" i="1"/>
  <c r="G52" i="1"/>
  <c r="G82" i="1"/>
  <c r="G36" i="1"/>
  <c r="G37" i="1"/>
  <c r="G27" i="1"/>
  <c r="G49" i="1"/>
  <c r="G59" i="1"/>
  <c r="G57" i="1"/>
  <c r="G48" i="1"/>
  <c r="G78" i="1"/>
  <c r="G61" i="1"/>
  <c r="G55" i="1"/>
  <c r="G47" i="1"/>
  <c r="G29" i="1"/>
  <c r="G42" i="1"/>
  <c r="G32" i="1"/>
  <c r="G31" i="1"/>
  <c r="G21" i="1"/>
  <c r="G26" i="1"/>
  <c r="G34" i="1"/>
  <c r="G30" i="1"/>
  <c r="G33" i="1"/>
  <c r="G38" i="1"/>
  <c r="G54" i="1"/>
  <c r="G39" i="1"/>
  <c r="G45" i="1"/>
  <c r="G28" i="1"/>
  <c r="G23" i="1"/>
  <c r="G67" i="1"/>
  <c r="G24" i="1"/>
  <c r="G25" i="1"/>
  <c r="G46" i="1"/>
  <c r="G22" i="1"/>
  <c r="G44" i="1"/>
  <c r="G17" i="1"/>
  <c r="G19" i="1"/>
  <c r="G14" i="1"/>
  <c r="G15" i="1"/>
  <c r="G20" i="1"/>
  <c r="G12" i="1"/>
  <c r="G9" i="1"/>
  <c r="G11" i="1"/>
  <c r="G10" i="1"/>
  <c r="G13" i="1"/>
  <c r="G4" i="1"/>
  <c r="G5" i="1"/>
</calcChain>
</file>

<file path=xl/sharedStrings.xml><?xml version="1.0" encoding="utf-8"?>
<sst xmlns="http://schemas.openxmlformats.org/spreadsheetml/2006/main" count="1324" uniqueCount="907">
  <si>
    <t>row
no</t>
    <phoneticPr fontId="4" type="noConversion"/>
  </si>
  <si>
    <t>chr13_978_tRNASer_AGA-</t>
  </si>
  <si>
    <t>chr13_949_tRNAArg_TCG-</t>
  </si>
  <si>
    <t>chr13_957_tRNAPro_AGG-</t>
  </si>
  <si>
    <t>chr13_998_tRNALeu_CAA_I-</t>
  </si>
  <si>
    <t>chr1_704_tRNAGly_GCC+</t>
  </si>
  <si>
    <t>chr13_980_tRNASer_AGA-</t>
  </si>
  <si>
    <t>chr2_263_tRNAAla_CGC+</t>
  </si>
  <si>
    <t>chr13_112_tRNASer_TGA+</t>
  </si>
  <si>
    <t>chr2_586_tRNAHis_GTG+</t>
  </si>
  <si>
    <t>chr5_109_tRNATyr_GTA_I+</t>
  </si>
  <si>
    <t>chr2_1432_tRNAHis_GTG-</t>
  </si>
  <si>
    <t>chr13_975_tRNAGln_CTG-</t>
  </si>
  <si>
    <t>chr13_88_tRNASer_AGA+</t>
  </si>
  <si>
    <t>chr3_284_tRNAVal_CAC+</t>
  </si>
  <si>
    <t>chr13_994_tRNAMet_CAT-</t>
  </si>
  <si>
    <t>chr13_988_tRNAPhe_GAA-</t>
  </si>
  <si>
    <t>chr3_303_tRNAGlu_CTC+</t>
  </si>
  <si>
    <t>chr14_457_tRNAPhe_GAA-</t>
  </si>
  <si>
    <t>chr11_2021_tRNALeu_AAG-</t>
  </si>
  <si>
    <t>chr6_10_tRNAVal_CAC+</t>
  </si>
  <si>
    <t>chrX_936_tRNAGln_TTG-</t>
  </si>
  <si>
    <t>chr3_751_tRNAHis_GTG-</t>
  </si>
  <si>
    <t>chr13_106_tRNATyr_GTA_I+</t>
  </si>
  <si>
    <t>chr19_637_tRNAArg_TCT_I-</t>
  </si>
  <si>
    <t>chr3_748_tRNALys_CTT-</t>
  </si>
  <si>
    <t>chr3_1040_tRNAArg_ACG-</t>
  </si>
  <si>
    <t>chr14_209_tRNAArg_ACG+</t>
  </si>
  <si>
    <t>chr11_1022_tRNAArg_CCT+</t>
  </si>
  <si>
    <t>chr1_1006_tRNAAsn_GTT-</t>
  </si>
  <si>
    <t>chr1</t>
  </si>
  <si>
    <t>chr5_1314_tRNAAsp_GTC-</t>
  </si>
  <si>
    <t>chr11_206_tRNAThr_TGT+</t>
  </si>
  <si>
    <t>chr13_99_tRNAMet_CAT+</t>
  </si>
  <si>
    <t>chr6_173_tRNACys_GCA+</t>
  </si>
  <si>
    <t>chr13_948_tRNAArg_TCG-</t>
  </si>
  <si>
    <t>chr1_710_tRNAVal_CAC+</t>
  </si>
  <si>
    <t>chr1_1022_tRNAPro_CGG-</t>
  </si>
  <si>
    <t>chr10_857_tRNATrp_CCA-</t>
  </si>
  <si>
    <t>chr11_393_tRNAIle_AAT+</t>
  </si>
  <si>
    <t>chr2_1747_tRNAGly_GCC-</t>
  </si>
  <si>
    <t>chr13_103_tRNALys_CTT+</t>
  </si>
  <si>
    <t>chr19_711_tRNASer_GCT-</t>
  </si>
  <si>
    <t>chr8_560_tRNAGly_GCC+</t>
  </si>
  <si>
    <t>chr11_1820_tRNATrp_CCA-</t>
  </si>
  <si>
    <t>chr13_966_tRNAAla_AGC-</t>
  </si>
  <si>
    <t>chr18</t>
  </si>
  <si>
    <t>chr17_458_tRNACys_GCA+</t>
  </si>
  <si>
    <t>chr3_92_tRNAPro_TGG+</t>
  </si>
  <si>
    <t>chr11_1912_tRNAGlu_CTC-</t>
  </si>
  <si>
    <t>chr7_861_tRNALeu_TAG-</t>
  </si>
  <si>
    <t>chr11_1819_tRNAGly_GCC-</t>
  </si>
  <si>
    <t>chr11_208_tRNAVal_AAC+</t>
  </si>
  <si>
    <t>chr19_109_tRNAVal_TAC+</t>
  </si>
  <si>
    <t>chr19</t>
  </si>
  <si>
    <t>link</t>
  </si>
  <si>
    <t>chr11_69_tRNAAsp_GTC+</t>
  </si>
  <si>
    <t>chr13_959_tRNATyr_GTA_I-</t>
  </si>
  <si>
    <t>chrX_931_tRNAPro_TGG-</t>
  </si>
  <si>
    <t>chr13_107_tRNATrp_CCA+</t>
  </si>
  <si>
    <t>chr1_1184_tRNALys_TTT-</t>
  </si>
  <si>
    <t>chr13_68_tRNAAla_TGC+</t>
  </si>
  <si>
    <t>chr1_703_tRNALeu_CAG+</t>
  </si>
  <si>
    <t>chr1_707_tRNAAsp_GTC+</t>
  </si>
  <si>
    <t>chr13_976_tRNASer_GCT-</t>
  </si>
  <si>
    <t>chr13_79_tRNASup_TTA+</t>
  </si>
  <si>
    <t>chr13_987_tRNAIle_TAT_I-</t>
  </si>
  <si>
    <t>chr13_82_tRNAMet_CAT+</t>
  </si>
  <si>
    <t>chr13_83_tRNALys_TTT+</t>
  </si>
  <si>
    <t>chr13_983_tRNAMet_CAT-</t>
  </si>
  <si>
    <t>chr13_971_tRNAThr_AGT-</t>
  </si>
  <si>
    <t>chr13_969_tRNAIle_TAT_I-</t>
  </si>
  <si>
    <t>tags with multiple matches</t>
    <phoneticPr fontId="4" type="noConversion"/>
  </si>
  <si>
    <t>chr8_887_tRNAGly_GCC-</t>
  </si>
  <si>
    <t>chr8_886_tRNAGly_GCC-</t>
  </si>
  <si>
    <t>chr2_510_tRNAAsp_GTC+</t>
  </si>
  <si>
    <t>chr11_1203_tRNAAla_AGC-</t>
  </si>
  <si>
    <t>chr12_886_tRNAGlu_CTC-</t>
  </si>
  <si>
    <t>chr18_633_tRNAThr_CGT-</t>
  </si>
  <si>
    <t>chr16_267_tRNALys_CTT+</t>
  </si>
  <si>
    <t>chr6_161_tRNACys_GCA+</t>
  </si>
  <si>
    <t>chr6_1034_tRNACys_GCA-</t>
  </si>
  <si>
    <t>chr6_1033_tRNACys_GCA-</t>
  </si>
  <si>
    <t>chr6_162_tRNACys_GCA+</t>
  </si>
  <si>
    <t>chr13_96_tRNAAla_AGC+</t>
  </si>
  <si>
    <t>chr2</t>
  </si>
  <si>
    <t>chr5_110_tRNAAla_AGC+</t>
  </si>
  <si>
    <t>chr5</t>
  </si>
  <si>
    <t>chr11</t>
  </si>
  <si>
    <t>chr3_745_tRNAGlu_CTC-</t>
  </si>
  <si>
    <t>chr17_516_tRNAIle_TAT_I+</t>
  </si>
  <si>
    <t>chr2_1947_tRNAAsn_GTT-</t>
  </si>
  <si>
    <t>chr16</t>
  </si>
  <si>
    <t>chr7_441_tRNAPro_TGG+</t>
  </si>
  <si>
    <t>chr11_2022_tRNAAla_TGC-</t>
  </si>
  <si>
    <t>chr1_699_tRNAGly_GCC+</t>
  </si>
  <si>
    <t>chr13_952_tRNALeu_CAG-</t>
  </si>
  <si>
    <t>chr1_708_tRNAGly_TCC+</t>
  </si>
  <si>
    <t>chr1_993_tRNALeu_CAG-</t>
  </si>
  <si>
    <t>chr13_102_tRNAAla_AGC+</t>
  </si>
  <si>
    <t>chr11_1493_tRNAGln_TTG-</t>
  </si>
  <si>
    <t>chr13_90_tRNAMet_CAT+</t>
  </si>
  <si>
    <t>chr</t>
  </si>
  <si>
    <t>start</t>
  </si>
  <si>
    <t>end</t>
  </si>
  <si>
    <t>chr13_958_tRNATyr_GTA_I-</t>
  </si>
  <si>
    <t>chr5_1317_tRNAAla_TGC-</t>
  </si>
  <si>
    <t>chr13_954_tRNAVal_CAC-</t>
  </si>
  <si>
    <t>chr11_398_tRNATrp_CCA+</t>
  </si>
  <si>
    <t>chr1_996_tRNAGlu_CTC-</t>
  </si>
  <si>
    <t>chr14_192_tRNAPro_TGG+</t>
  </si>
  <si>
    <t>chr13_972_tRNASer_CGA-</t>
  </si>
  <si>
    <t>chr13_970_tRNASer_GCT-</t>
  </si>
  <si>
    <t>chr6_317_tRNAGly_CCC+</t>
  </si>
  <si>
    <t>chr11_395_tRNAThr_AGT+</t>
  </si>
  <si>
    <t>chr13_950_tRNASer_AGA-</t>
  </si>
  <si>
    <t>chr13_87_tRNAGln_CTG+</t>
  </si>
  <si>
    <t>chr1_701_tRNALeu_CAG+</t>
  </si>
  <si>
    <t>chr3_289_tRNAAsn_GTT+</t>
  </si>
  <si>
    <t>chr1_702_tRNAGly_GCC+</t>
  </si>
  <si>
    <t>chr1_998_tRNAGly_TCC-</t>
  </si>
  <si>
    <t>chr13_97_tRNAVal_CAC+</t>
  </si>
  <si>
    <t>chr3_753_tRNAGln_CTG-</t>
  </si>
  <si>
    <t>chr13_108_tRNAMet_CAT+</t>
  </si>
  <si>
    <t>chr13_981_tRNAAsp_GTC-</t>
  </si>
  <si>
    <t>chr13_95_tRNAVal_AAC+</t>
  </si>
  <si>
    <t>chr4_16_tRNASer_AGA+</t>
  </si>
  <si>
    <t>chr4</t>
  </si>
  <si>
    <t>chr19_639_tRNALys_TTT-</t>
  </si>
  <si>
    <t>chr7_559_tRNALeu_AAG+</t>
  </si>
  <si>
    <t>chr11_791_tRNACys_GCA+</t>
  </si>
  <si>
    <t>chr1_672_tRNAPro_AGG+</t>
  </si>
  <si>
    <t>chr13_973_tRNAArg_ACG-</t>
  </si>
  <si>
    <t>chr2_1431_tRNAHis_GTG-</t>
  </si>
  <si>
    <t>chr3_29_tRNAAla_AGC+</t>
  </si>
  <si>
    <t>chr3_755_tRNAGly_CCC-</t>
  </si>
  <si>
    <t>chr13_982_tRNAGln_CTG-</t>
  </si>
  <si>
    <t>chr19_108_tRNAPhe_GAA+</t>
  </si>
  <si>
    <t>chr13_963_tRNAAla_AGC-</t>
  </si>
  <si>
    <t>chr13_93_tRNAVal_AAC+</t>
  </si>
  <si>
    <t>chr3_622_tRNAGlu_CTC-</t>
  </si>
  <si>
    <t>chr6_1016_tRNACys_GCA-</t>
  </si>
  <si>
    <t>chr6_174_tRNACys_GCA+</t>
  </si>
  <si>
    <t>chr6_175_tRNACys_GCA+</t>
  </si>
  <si>
    <t>chr6_1015_tRNACys_GCA-</t>
  </si>
  <si>
    <t>chr6_1014_tRNACys_GCA-</t>
  </si>
  <si>
    <t>chr6_1013_tRNACys_GCA-</t>
  </si>
  <si>
    <t>chr6_176_tRNACys_GCA+</t>
  </si>
  <si>
    <t>chr6_1012_tRNACys_GCA-</t>
  </si>
  <si>
    <t>chrX_363_tRNAAla_TGC+</t>
  </si>
  <si>
    <t>chrX_364_tRNAAla_CGC+</t>
  </si>
  <si>
    <t>chrX_640_tRNAAla_CGC-</t>
  </si>
  <si>
    <t>chr13_94_tRNAAla_AGC+</t>
  </si>
  <si>
    <t>chr13_98_tRNAVal_CAC+</t>
  </si>
  <si>
    <t>chr13_991_tRNALeu_TAA-</t>
  </si>
  <si>
    <t>chr13_985_tRNAArg_TCT_I-</t>
  </si>
  <si>
    <t>chr17_83_tRNAPro_CGG+</t>
  </si>
  <si>
    <t>chrX_493_tRNASer_AGA-</t>
  </si>
  <si>
    <t>chr1_717_tRNAHis_ATG+</t>
  </si>
  <si>
    <t>chr1_730_tRNAArg_TCT+</t>
  </si>
  <si>
    <t>chr11_1911_tRNALeu_CAA_I-</t>
  </si>
  <si>
    <t>chr10_1101_tRNAMet_CAT_I-</t>
  </si>
  <si>
    <t>chr11_1824_tRNAGly_TCC-</t>
  </si>
  <si>
    <t>chr13_63_tRNALeu_AAG+</t>
  </si>
  <si>
    <t>chr13_62_tRNALeu_AAG+</t>
  </si>
  <si>
    <t>chr1_698_tRNALeu_CAG+</t>
  </si>
  <si>
    <t>chr11_1446_tRNAAsn_GTT-</t>
  </si>
  <si>
    <t>chr3_628_tRNAArg_TCT_I-</t>
  </si>
  <si>
    <t>chr13_111_tRNAMet_CAT+</t>
  </si>
  <si>
    <t>chr13_1001_tRNAGlu_CTC-</t>
  </si>
  <si>
    <t>chr10_1316_tRNALeu_TAA-</t>
  </si>
  <si>
    <t>chr11_1023_tRNAArg_TCG+</t>
  </si>
  <si>
    <t>chr11_1818_tRNAArg_TCT_I-</t>
  </si>
  <si>
    <t>chr1_994_tRNAAsp_GTC-</t>
  </si>
  <si>
    <t>chr17_82_tRNALys_CTT+</t>
  </si>
  <si>
    <t>chr10_851_tRNAAsp_GTC-</t>
  </si>
  <si>
    <t>chr14_705_tRNAPro_AGG-</t>
  </si>
  <si>
    <t>chr13_67_tRNAAla_AGC+</t>
  </si>
  <si>
    <t>chr6_107_tRNAArg_CCT+</t>
  </si>
  <si>
    <t>chr6</t>
  </si>
  <si>
    <t>chr7_156_tRNAIle_TAT_I+</t>
  </si>
  <si>
    <t>chr13_113_tRNAGln_TTG+</t>
  </si>
  <si>
    <t>chr17_995_tRNAArg_CCT-</t>
  </si>
  <si>
    <t>chr13_115_tRNASer_GCT+</t>
  </si>
  <si>
    <t>chr7_337_tRNAGlu_TTC+</t>
  </si>
  <si>
    <t>chr10_688_tRNASer_CGA-</t>
  </si>
  <si>
    <t>chr11_550_tRNAThr_CGT+</t>
  </si>
  <si>
    <t>chr1_1000_tRNAAsp_GTC-</t>
  </si>
  <si>
    <t>chr3_291_tRNAHis_GTG+</t>
  </si>
  <si>
    <t>chr13_989_tRNAIle_AAT-</t>
  </si>
  <si>
    <t>chr14_703_tRNALeu_TAG-</t>
  </si>
  <si>
    <t>chr11_1442_tRNACys_GCA-</t>
  </si>
  <si>
    <t>chr3_294_tRNAAsn_GTT+</t>
  </si>
  <si>
    <t>chr13_61_tRNAMet_CAT+</t>
  </si>
  <si>
    <t>chr1_999_tRNAGlu_CTC-</t>
  </si>
  <si>
    <t>chr13_961_tRNATyr_GTA_I-</t>
  </si>
  <si>
    <t>chr6_46_tRNAPro_AGG+</t>
  </si>
  <si>
    <t>chr1_997_tRNAAsp_GTC-</t>
  </si>
  <si>
    <t>chr3_48_tRNAVal_AAC+</t>
  </si>
  <si>
    <t>chr13_956_tRNAIle_AAT-</t>
  </si>
  <si>
    <t>chr3_2_tRNALys_CTT+</t>
  </si>
  <si>
    <t>chr9_342_tRNAGln_CTG+</t>
  </si>
  <si>
    <t>chr7_1213_tRNAThr_AGT-</t>
  </si>
  <si>
    <t>chr17_113_tRNAGly_CCC+</t>
  </si>
  <si>
    <t>chr17</t>
  </si>
  <si>
    <t>chr11_1433_tRNACys_GCA-</t>
  </si>
  <si>
    <t>chr12_470_tRNAIle_AAT+</t>
  </si>
  <si>
    <t>chr12</t>
  </si>
  <si>
    <t>chr11_204_tRNAVal_CAC+</t>
  </si>
  <si>
    <t>chr14_347_tRNAGlu_TTC+</t>
  </si>
  <si>
    <t>chr11_2023_tRNALys_CTT-</t>
  </si>
  <si>
    <t>chr3_309_tRNAGln_CTG+</t>
  </si>
  <si>
    <t>chr5_1627_tRNALys_CTT-</t>
  </si>
  <si>
    <t>chr10_1282_tRNATrp_CCA-</t>
  </si>
  <si>
    <t>chr13_964_tRNAVal_CAC-</t>
  </si>
  <si>
    <t>chr13_962_tRNAVal_AAC-</t>
  </si>
  <si>
    <t>chr11_832_tRNASer_GGA+</t>
  </si>
  <si>
    <t>chr13_951_tRNAArg_ACG-</t>
  </si>
  <si>
    <t>chr17_998_tRNAPro_TGG-</t>
  </si>
  <si>
    <t>chr3_1026_tRNALeu_CAG-</t>
  </si>
  <si>
    <t>chr1_1268_tRNALys_CTT-</t>
  </si>
  <si>
    <t>chr7_967_tRNAGlu_CTC-</t>
  </si>
  <si>
    <t>chrX_321_tRNAArg_CCT+</t>
  </si>
  <si>
    <t>chr13_968_tRNAIle_AAT-</t>
  </si>
  <si>
    <t>chr1_1001_tRNAGly_TCC-</t>
  </si>
  <si>
    <t>chr13_86_tRNASer_AGA+</t>
  </si>
  <si>
    <t>chr13_64_tRNAGln_CTG+</t>
  </si>
  <si>
    <t>chr1_995_tRNAGly_TCC-</t>
  </si>
  <si>
    <t>chr19_8_tRNAAla_AGC+</t>
  </si>
  <si>
    <t>chr19_638_tRNALeu_TAA-</t>
  </si>
  <si>
    <t>chr13_70_tRNAAla_CGC+</t>
  </si>
  <si>
    <t>chr13_75_tRNAThr_CGT+</t>
  </si>
  <si>
    <t>chr1_791_tRNASer_GCT+</t>
  </si>
  <si>
    <t>chr6_1032_tRNACys_GCA-</t>
  </si>
  <si>
    <t>chr13_965_tRNAVal_AAC-</t>
  </si>
  <si>
    <t>chr13_979_tRNAAsp_GTC-</t>
  </si>
  <si>
    <t>chr19_107_tRNALys_TTT+</t>
  </si>
  <si>
    <t>chr13_974_tRNAVal_AAC-</t>
  </si>
  <si>
    <t>chr13_997_tRNAArg_CCG-</t>
  </si>
  <si>
    <t>chr4_62_tRNAIle_AAT+</t>
  </si>
  <si>
    <t>chr7_1276_tRNALys_TTT-</t>
  </si>
  <si>
    <t>chr4_67_tRNAGly_CCC+</t>
  </si>
  <si>
    <t>chr8_168_tRNALeu_CAG+</t>
  </si>
  <si>
    <t>chr11_207_tRNAPro_TGG+</t>
  </si>
  <si>
    <t>chr11_205_tRNAGly_ACC+</t>
  </si>
  <si>
    <t>chr19_106_tRNAPhe_GAA+</t>
  </si>
  <si>
    <t>chr13_110_tRNAGly_GCC+</t>
  </si>
  <si>
    <t>chr7_86_tRNASeC(e)_TCA+</t>
  </si>
  <si>
    <t>chr13_109_tRNATrp_CCA+</t>
  </si>
  <si>
    <t>chr3_747_tRNAHis_GTG-</t>
  </si>
  <si>
    <t>chr17_994_tRNAArg_CCG-</t>
  </si>
  <si>
    <t>chr3_28_tRNATyr_GTA_I+</t>
  </si>
  <si>
    <t>chr3</t>
  </si>
  <si>
    <t>chr2_1509_tRNASer_GCT-</t>
  </si>
  <si>
    <t>chr8_783_tRNAMet_CAT-</t>
  </si>
  <si>
    <t>chr8</t>
  </si>
  <si>
    <t>chr9_783_tRNAArg_ACG-</t>
  </si>
  <si>
    <t>chr9</t>
  </si>
  <si>
    <t>chr7_387_tRNAArg_TCG+</t>
  </si>
  <si>
    <t>chr7</t>
  </si>
  <si>
    <t>chr14_191_tRNATyr_GTA_I+</t>
  </si>
  <si>
    <t>chr14</t>
  </si>
  <si>
    <t>chr14_188_tRNALeu_AAG+</t>
  </si>
  <si>
    <t>chr8_1008_tRNALeu_CAG-</t>
  </si>
  <si>
    <t>chr13_65_tRNALeu_CAA_I+</t>
  </si>
  <si>
    <t>chr3_792_tRNAMet_CAT-</t>
  </si>
  <si>
    <t>chr11_397_tRNAAsp_GTC+</t>
  </si>
  <si>
    <t>chr5_1043_tRNAAsn_GTT-</t>
  </si>
  <si>
    <t>chr11_401_tRNALeu_TAG+</t>
  </si>
  <si>
    <t>chr11_945_tRNAArg_CCG+</t>
  </si>
  <si>
    <t>chr3_27_tRNATyr_GTA_I+</t>
  </si>
  <si>
    <t>chr10_856_tRNAAsp_GTC-</t>
  </si>
  <si>
    <t>chr13_1000_tRNALys_TTT-</t>
  </si>
  <si>
    <t>chr13_955_tRNAAla_CGC-</t>
  </si>
  <si>
    <t>chr13_984_tRNASer_TGA-</t>
  </si>
  <si>
    <t>chr3_297_tRNAGln_CTG+</t>
  </si>
  <si>
    <t>chr13_84_tRNAAsp_GTC+</t>
  </si>
  <si>
    <t>chr13_89_tRNALys_TTT+</t>
  </si>
  <si>
    <t>chr13_100_tRNAIle_AAT+</t>
  </si>
  <si>
    <t>chr6_1026_tRNACys_GCA-</t>
  </si>
  <si>
    <t>chr6_1025_tRNACys_GCA-</t>
  </si>
  <si>
    <t>chr6_1024_tRNACys_GCA-</t>
  </si>
  <si>
    <t>chr6_1023_tRNACys_GCA-</t>
  </si>
  <si>
    <t>chr17_392_tRNAVal_CAC+</t>
  </si>
  <si>
    <t>chr3_928_tRNAVal_CAC-</t>
  </si>
  <si>
    <t>chr14_628_tRNAThr_AGT-</t>
  </si>
  <si>
    <t>chr10_1120_tRNAAla_AGC-</t>
  </si>
  <si>
    <t>chr11_1849_tRNATrp_CCA-</t>
  </si>
  <si>
    <t>chr1_814_tRNAAsn_GTT+</t>
  </si>
  <si>
    <t>tRNA gene</t>
    <phoneticPr fontId="4" type="noConversion"/>
  </si>
  <si>
    <t>chr4_626_tRNAAla_CGC+</t>
  </si>
  <si>
    <t>chr4_645_tRNAAla_AGC+</t>
  </si>
  <si>
    <t>chr4_1314_tRNAGly_GCC-</t>
  </si>
  <si>
    <t>chrX_643_tRNALys_CTT-</t>
  </si>
  <si>
    <t>chrX_368_tRNAAla_TGC+</t>
  </si>
  <si>
    <t>chrX_369_tRNAAla_CGC+</t>
  </si>
  <si>
    <t>chrX_637_tRNAAla_TGC-</t>
  </si>
  <si>
    <t>chrX_371_tRNAAla_TGC+</t>
  </si>
  <si>
    <t>chrX_636_tRNAAla_CGC-</t>
  </si>
  <si>
    <t>chrX_372_tRNAAla_TGC+</t>
  </si>
  <si>
    <t>chrX_373_tRNAAla_CGC+</t>
  </si>
  <si>
    <t>chrX_375_tRNAAla_TGC+</t>
  </si>
  <si>
    <t>chr6_651_tRNAVal_GAC-</t>
  </si>
  <si>
    <t>chr6_1022_tRNACys_GCA-</t>
  </si>
  <si>
    <t>chr6_1021_tRNACys_GCA-</t>
  </si>
  <si>
    <t>chr6_171_tRNACys_GCA+</t>
  </si>
  <si>
    <t>chr6_172_tRNACys_GCA+</t>
  </si>
  <si>
    <t>chr1_709_tRNAGlu_CTC+</t>
  </si>
  <si>
    <t>chr11_372_tRNAPro_TGG+</t>
  </si>
  <si>
    <t>chr6_177_tRNACys_GCA+</t>
  </si>
  <si>
    <t>chr6_178_tRNACys_GCA+</t>
  </si>
  <si>
    <t>chr6_1011_tRNACys_GCA-</t>
  </si>
  <si>
    <t>chr6_1010_tRNACys_GCA-</t>
  </si>
  <si>
    <t>chr6_1009_tRNACys_GCA-</t>
  </si>
  <si>
    <t>chr6_179_tRNACys_GCA+</t>
  </si>
  <si>
    <t>chr6_180_tRNACys_GCA+</t>
  </si>
  <si>
    <t>chr6_1008_tRNACys_GCA-</t>
  </si>
  <si>
    <t>chr6_1006_tRNACys_GCA-</t>
  </si>
  <si>
    <t>chr6_181_tRNACys_GCA+</t>
  </si>
  <si>
    <t>chr6_182_tRNACys_GCA+</t>
  </si>
  <si>
    <t>chr1_1392_tRNAGly_GCC-</t>
  </si>
  <si>
    <t>chr17_1000_tRNALys_CTT-</t>
  </si>
  <si>
    <t>chr1_706_tRNAGly_GCC+</t>
  </si>
  <si>
    <t>chr5_1315_tRNAPhe_GAA-</t>
  </si>
  <si>
    <t>chr13_60_tRNAPhe_GAA+</t>
  </si>
  <si>
    <t>chr14_704_tRNAThr_TGT-</t>
  </si>
  <si>
    <t>chr11_396_tRNAPro_CGG+</t>
  </si>
  <si>
    <t>chr1_1547_tRNAGlu_TTC-</t>
  </si>
  <si>
    <t>chr11_394_tRNASer_AGA+</t>
  </si>
  <si>
    <t>chr13_92_tRNAIle_AAT+</t>
  </si>
  <si>
    <t>chr11_1823_tRNAIle_AAT-</t>
  </si>
  <si>
    <t>chr1_1004_tRNAGly_TCC-</t>
  </si>
  <si>
    <t>chr5_702_tRNAAla_TGC+</t>
  </si>
  <si>
    <t>chr11_1816_tRNALys_TTT-</t>
  </si>
  <si>
    <t>chr12_790_tRNALys_CTT-</t>
  </si>
  <si>
    <t>chr14_359_tRNAGlu_TTC+</t>
  </si>
  <si>
    <t>chr6_157_tRNACys_GCA+</t>
  </si>
  <si>
    <t>chr8_414_tRNALeu_CAG+</t>
  </si>
  <si>
    <t>chr13_999_tRNAMet_CAT-</t>
  </si>
  <si>
    <t>chr17_996_tRNAPro_TGG-</t>
  </si>
  <si>
    <t>chr13_947_tRNAMet_CAT-</t>
  </si>
  <si>
    <t>chr10_961_tRNAPhe_GAA-</t>
  </si>
  <si>
    <t>chr10_1095_tRNASer_TGA-</t>
  </si>
  <si>
    <t>chr3_1_tRNALys_CTT+</t>
  </si>
  <si>
    <t>chr16_4_tRNALeu_AAG+</t>
  </si>
  <si>
    <t>chr13_1041_tRNALys_CTT-</t>
  </si>
  <si>
    <t>chr5_13_tRNASeC_TCA+</t>
  </si>
  <si>
    <t>chr13_995_tRNAGln_TTG-</t>
  </si>
  <si>
    <t>chr13_73_tRNAThr_TGT+</t>
  </si>
  <si>
    <t>chr13_992_tRNASer_GCT-</t>
  </si>
  <si>
    <t>chr3_752_tRNAGly_CCC-</t>
  </si>
  <si>
    <t>chr3_292_tRNALys_CTT+</t>
  </si>
  <si>
    <t>chr3_293_tRNAHis_GTG+</t>
  </si>
  <si>
    <t>chr3_749_tRNAHis_GTG-</t>
  </si>
  <si>
    <t>chr16_315_tRNAIle_AAT+</t>
  </si>
  <si>
    <t>chr10_979_tRNAAla_AGC-</t>
  </si>
  <si>
    <t>chr1_284_tRNAPro_AGG+</t>
  </si>
  <si>
    <t>chr4_1697_tRNAHis_GTG-</t>
  </si>
  <si>
    <t>chr8_317_tRNALys_TTT+</t>
  </si>
  <si>
    <t>chr3_878_tRNAGly_GCC-</t>
  </si>
  <si>
    <t>chr11_630_tRNAGln_TTG+</t>
  </si>
  <si>
    <t>chr5_1609_tRNAAsp_GTC-</t>
  </si>
  <si>
    <t>chr9_592_tRNACys_GCA+</t>
  </si>
  <si>
    <t>chr9_593_tRNACys_GCA+</t>
  </si>
  <si>
    <t>chr9_961_tRNAGlu_TTC-</t>
  </si>
  <si>
    <t>n-Tf3</t>
  </si>
  <si>
    <t>n-Tv7</t>
  </si>
  <si>
    <t>n-Tt14</t>
  </si>
  <si>
    <t>n-Te16</t>
  </si>
  <si>
    <t>n-Tr14</t>
  </si>
  <si>
    <t>n-Tl10</t>
  </si>
  <si>
    <t>n-Td14</t>
  </si>
  <si>
    <t>n-Ta38</t>
  </si>
  <si>
    <t>n-Tl21</t>
  </si>
  <si>
    <t>n-Tm8</t>
  </si>
  <si>
    <t>n-Tl27</t>
  </si>
  <si>
    <t>n-Tv21</t>
  </si>
  <si>
    <t>n-Tv15</t>
  </si>
  <si>
    <t>n-Ti8</t>
  </si>
  <si>
    <t>n-Td9</t>
  </si>
  <si>
    <t>n-Tg12</t>
  </si>
  <si>
    <t>n-Tv8</t>
  </si>
  <si>
    <t>n-Ta13</t>
  </si>
  <si>
    <t>n-Te6</t>
  </si>
  <si>
    <t>n-Tq16</t>
  </si>
  <si>
    <t>n-Tr12</t>
  </si>
  <si>
    <t>n-Tl22</t>
  </si>
  <si>
    <t>n-Tk10</t>
  </si>
  <si>
    <t>n-Te11</t>
  </si>
  <si>
    <t>n-Ti5</t>
  </si>
  <si>
    <t>n-Tn9</t>
  </si>
  <si>
    <t>n-Tl25</t>
  </si>
  <si>
    <t>n-Th4</t>
  </si>
  <si>
    <t>n-Tr22</t>
  </si>
  <si>
    <t>n-Tr10</t>
  </si>
  <si>
    <t>n-Tq9</t>
  </si>
  <si>
    <t>n-Tr18</t>
  </si>
  <si>
    <t>n-Tg13</t>
  </si>
  <si>
    <t>n-Tr11</t>
  </si>
  <si>
    <t>n-Ts26</t>
  </si>
  <si>
    <t>n-Te17</t>
  </si>
  <si>
    <t>n-Tn8</t>
  </si>
  <si>
    <t>chr6_163_tRNACys_GCA+</t>
  </si>
  <si>
    <t>chr6_1031_tRNACys_GCA-</t>
  </si>
  <si>
    <t>chr6_164_tRNACys_GCA+</t>
  </si>
  <si>
    <t>chr2_1506_tRNAIle_GAT-</t>
  </si>
  <si>
    <t>chr11_1132_tRNAMet_CAT-</t>
  </si>
  <si>
    <t>chr11_1822_tRNAThr_AGT-</t>
  </si>
  <si>
    <t>chr13_72_tRNAThr_CGT+</t>
  </si>
  <si>
    <t>chr13_74_tRNAArg_TCG+</t>
  </si>
  <si>
    <t>chr11_1444_tRNACys_GCA-</t>
  </si>
  <si>
    <t>chr11_400_tRNASer_CGA+</t>
  </si>
  <si>
    <t>chr13_85_tRNALeu_CAA_I+</t>
  </si>
  <si>
    <t>chr13_78_tRNAMet_CAT+</t>
  </si>
  <si>
    <t>chr13</t>
  </si>
  <si>
    <t>chr5_1316_tRNAAsp_GTC-</t>
  </si>
  <si>
    <t>chr1_1005_tRNAAsp_GTC-</t>
  </si>
  <si>
    <t>chr9_1035_tRNALys_CTT-</t>
  </si>
  <si>
    <t>chr17_84_tRNALys_CTT+</t>
  </si>
  <si>
    <t>chr10_81_tRNAGlu_CTC+</t>
  </si>
  <si>
    <t>chr13_990_tRNAIle_AAT-</t>
  </si>
  <si>
    <t>chr13_77_tRNAGly_GCC+</t>
  </si>
  <si>
    <t>chr13_114_tRNAGln_TTG+</t>
  </si>
  <si>
    <t>chr10</t>
  </si>
  <si>
    <t>chr15</t>
  </si>
  <si>
    <t>chr11_1432_tRNACys_GCA-</t>
  </si>
  <si>
    <t>chr3_746_tRNAGly_TCC-</t>
  </si>
  <si>
    <t>chr16_50_tRNAThr_CGT+</t>
  </si>
  <si>
    <t>chr1_485_tRNALys_TTT+</t>
  </si>
  <si>
    <t>chr13_91_tRNAVal_CAC+</t>
  </si>
  <si>
    <t>chr13_953_tRNAArg_ACG-</t>
  </si>
  <si>
    <t>chr10_381_tRNAAsn_GTT+</t>
  </si>
  <si>
    <t>chr13_960_tRNATyr_GTA_I-</t>
  </si>
  <si>
    <t>chr6_168_tRNACys_GCA+</t>
  </si>
  <si>
    <t>chr6_170_tRNACys_GCA+</t>
  </si>
  <si>
    <t>chr6_1030_tRNACys_GCA-</t>
  </si>
  <si>
    <t>chr6_1029_tRNACys_GCA-</t>
  </si>
  <si>
    <t>chr6_1027_tRNACys_GCA-</t>
  </si>
  <si>
    <t>chr6_1019_tRNACys_GCA-</t>
  </si>
  <si>
    <t>chr6_1018_tRNACys_GCA-</t>
  </si>
  <si>
    <t>chr6_1017_tRNACys_GCA-</t>
  </si>
  <si>
    <t>chrX_366_tRNAAla_TGC+</t>
  </si>
  <si>
    <t>chr10_885_tRNALys_TTT-</t>
  </si>
  <si>
    <t>chr15_355_tRNAMet_CAT+</t>
  </si>
  <si>
    <t>chr3_282_tRNAGly_CCC+</t>
  </si>
  <si>
    <t>tags with unique match</t>
  </si>
  <si>
    <t>tags with multiple matches</t>
  </si>
  <si>
    <t>chrX_639_tRNAAla_CGC-</t>
  </si>
  <si>
    <t>chr4_1183_tRNAVal_AAC-</t>
  </si>
  <si>
    <t>chr5_1135_tRNASer_AGA_I-</t>
  </si>
  <si>
    <t>chr1_583_tRNAIle_TAT+</t>
  </si>
  <si>
    <t>chrX_462_tRNALeu_TAA+</t>
  </si>
  <si>
    <t>chr6_1005_tRNACys_GCA-</t>
  </si>
  <si>
    <t>chr11_238_tRNAAla_AGC+</t>
  </si>
  <si>
    <t>chrX_159_tRNAAla_AGC+</t>
  </si>
  <si>
    <t>chr17_720_tRNAGlu_CTC-</t>
  </si>
  <si>
    <t>chr6_166_tRNACys_GCA+</t>
  </si>
  <si>
    <t>chr6_167_tRNACys_GCA+</t>
  </si>
  <si>
    <t>n-Tg18</t>
  </si>
  <si>
    <t>n-Th6</t>
  </si>
  <si>
    <t>n-Tm14</t>
  </si>
  <si>
    <t>n-Te15</t>
  </si>
  <si>
    <t>n-Tp6</t>
  </si>
  <si>
    <t>n-Tl9</t>
  </si>
  <si>
    <t>n-Tp17</t>
  </si>
  <si>
    <t>n-Tc52</t>
  </si>
  <si>
    <t>n-Tt4</t>
  </si>
  <si>
    <t>n-Ty3</t>
  </si>
  <si>
    <t>n-Td7</t>
  </si>
  <si>
    <t>n-Td6</t>
  </si>
  <si>
    <t>n-Tp3</t>
  </si>
  <si>
    <t>n-Tl28</t>
  </si>
  <si>
    <t>n-Tq6</t>
  </si>
  <si>
    <t>n-Tg11</t>
  </si>
  <si>
    <t>n-Tk13</t>
  </si>
  <si>
    <t>n-Ta19</t>
  </si>
  <si>
    <t>n-Tr25</t>
  </si>
  <si>
    <t>n-Ts10</t>
  </si>
  <si>
    <t>n-Tv22</t>
  </si>
  <si>
    <t>n-Tk12</t>
  </si>
  <si>
    <t>n-Tn11</t>
  </si>
  <si>
    <t>n-Tn13</t>
  </si>
  <si>
    <t>n-Tp5</t>
  </si>
  <si>
    <t>n-Tv12</t>
  </si>
  <si>
    <t>n-Tl18</t>
  </si>
  <si>
    <t>n-Ts7</t>
  </si>
  <si>
    <t>n-Tq4</t>
  </si>
  <si>
    <t>n-Tq10</t>
  </si>
  <si>
    <t>n-Ta40</t>
  </si>
  <si>
    <t>n-Tk25</t>
  </si>
  <si>
    <t>n-Ty4</t>
  </si>
  <si>
    <t>n-Tl20</t>
  </si>
  <si>
    <t>n-Tl19</t>
  </si>
  <si>
    <t>n-Tw3</t>
  </si>
  <si>
    <t>n-Tn10</t>
  </si>
  <si>
    <t>n-Tv6</t>
  </si>
  <si>
    <t>n-Ti9</t>
  </si>
  <si>
    <t>n-Th7</t>
  </si>
  <si>
    <t>chr6_1020_tRNACys_GCA-</t>
  </si>
  <si>
    <t>chr3_93_tRNAPro_AGG+</t>
  </si>
  <si>
    <t>chr13_105_tRNAGlu_TTC+</t>
  </si>
  <si>
    <t>chr11_399_tRNAThr_AGT+</t>
  </si>
  <si>
    <t>chr1_1002_tRNAGlu_CTC-</t>
  </si>
  <si>
    <t>chr13_81_tRNAThr_AGT+</t>
  </si>
  <si>
    <t>chr11_1817_tRNAGln_CTG-</t>
  </si>
  <si>
    <t>chr13_101_tRNATyr_GTA_I+</t>
  </si>
  <si>
    <t>chr13_71_tRNAAla_AGC+</t>
  </si>
  <si>
    <t>chrX_459_tRNAVal_TAC+</t>
  </si>
  <si>
    <t>chrX</t>
  </si>
  <si>
    <t>chr14_190_tRNAThr_TGT+</t>
  </si>
  <si>
    <t>chr13_66_tRNAAla_AGC+</t>
  </si>
  <si>
    <t>chr13_104_tRNAThr_AGT+</t>
  </si>
  <si>
    <t>chr3_298_tRNAAsn_GTT+</t>
  </si>
  <si>
    <t>chr3_286_tRNAGlu_TTC+</t>
  </si>
  <si>
    <t>chr3_287_tRNAGly_CCC+</t>
  </si>
  <si>
    <t>chr3_754_tRNAGlu_TTC-</t>
  </si>
  <si>
    <t>chr16_829_tRNALeu_AAG-</t>
  </si>
  <si>
    <t>chr19_2_tRNALeu_AAG+</t>
  </si>
  <si>
    <t>chr9_1514_tRNALys_CTT-</t>
  </si>
  <si>
    <t>chr15_1013_tRNAAsn_GTT-</t>
  </si>
  <si>
    <t>chr16_76_tRNALys_CTT+</t>
  </si>
  <si>
    <t>chr13_69_tRNAAla_AGC+</t>
  </si>
  <si>
    <t>chr13_996_tRNAThr_AGT-</t>
  </si>
  <si>
    <t>chr11_1234_tRNAArg_CCT-</t>
  </si>
  <si>
    <t>chr19_110_tRNAVal_TAC+</t>
  </si>
  <si>
    <t>chr3_295_tRNAHis_GTG+</t>
  </si>
  <si>
    <t>chr3_750_tRNAAsn_GTT-</t>
  </si>
  <si>
    <t>chr1_705_tRNALeu_CAG+</t>
  </si>
  <si>
    <t>chr3_283_tRNAAsn_GTT+</t>
  </si>
  <si>
    <t>chr3_757_tRNAAsn_GTT-</t>
  </si>
  <si>
    <t>chr3_285_tRNAAsn_GTT+</t>
  </si>
  <si>
    <t>chr3_756_tRNAGln_CTG-</t>
  </si>
  <si>
    <t>chr7_977_tRNAPro_AGG-</t>
  </si>
  <si>
    <t>chr15_876_tRNAMet_CAT-</t>
  </si>
  <si>
    <t>chr11_1752_tRNALys_CTT-</t>
  </si>
  <si>
    <t>chr9_1100_tRNAAla_AGC-</t>
  </si>
  <si>
    <t>n-Ts17</t>
  </si>
  <si>
    <t>n-Ta15</t>
  </si>
  <si>
    <t>n-Th5</t>
  </si>
  <si>
    <t>n-Tl12</t>
  </si>
  <si>
    <t>n-Tn7</t>
  </si>
  <si>
    <t>n-Tr2</t>
  </si>
  <si>
    <t>n-Ts21</t>
  </si>
  <si>
    <t>n-Tm17</t>
  </si>
  <si>
    <t>n-Tr19</t>
  </si>
  <si>
    <t>n-Ty2</t>
  </si>
  <si>
    <t>n-Tw5</t>
  </si>
  <si>
    <t>n-Tl8</t>
  </si>
  <si>
    <t>n-Tg25</t>
  </si>
  <si>
    <t>n-Tr6</t>
  </si>
  <si>
    <t>n-Ta14</t>
  </si>
  <si>
    <t>n-Th3</t>
  </si>
  <si>
    <t>n-Ty10</t>
  </si>
  <si>
    <t>n-Tm16</t>
  </si>
  <si>
    <t>n-Tn6</t>
  </si>
  <si>
    <t>n-Tm7</t>
  </si>
  <si>
    <t>n-Ty9</t>
  </si>
  <si>
    <t>n-Tt16</t>
  </si>
  <si>
    <t>n-Td16</t>
  </si>
  <si>
    <t>n-Tt9</t>
  </si>
  <si>
    <t>n-Tl16</t>
  </si>
  <si>
    <t>n-Tp18</t>
  </si>
  <si>
    <t>n-Tr7</t>
  </si>
  <si>
    <t>n-Tc54</t>
  </si>
  <si>
    <t>n-Tg26</t>
  </si>
  <si>
    <t>n-Tl29</t>
  </si>
  <si>
    <t>n-Ty1</t>
  </si>
  <si>
    <t>n-Te10</t>
  </si>
  <si>
    <t>n-Tc55</t>
  </si>
  <si>
    <t>n-Tg7</t>
  </si>
  <si>
    <t>n-Tn14</t>
  </si>
  <si>
    <t>n-Tm11</t>
  </si>
  <si>
    <t>n-Td1</t>
  </si>
  <si>
    <t>n-Tc12</t>
  </si>
  <si>
    <t>n-Tv1</t>
  </si>
  <si>
    <t>n-Ta22</t>
  </si>
  <si>
    <t>n-Tv20</t>
  </si>
  <si>
    <t>n-Tg2</t>
  </si>
  <si>
    <t>n-Ts23</t>
  </si>
  <si>
    <t>n-Tv11</t>
  </si>
  <si>
    <t>n-Ti2</t>
  </si>
  <si>
    <t>n-Tk2</t>
  </si>
  <si>
    <t>n-Tc3</t>
  </si>
  <si>
    <t>n-Tc16</t>
  </si>
  <si>
    <t>n-Tr4</t>
  </si>
  <si>
    <t>n-Tc46</t>
  </si>
  <si>
    <t>n-Tc24</t>
  </si>
  <si>
    <t>n-Tc30</t>
  </si>
  <si>
    <t>n-Ta8</t>
  </si>
  <si>
    <t>n-Tc45</t>
  </si>
  <si>
    <t>n-Tc31</t>
  </si>
  <si>
    <t>n-Ti1</t>
  </si>
  <si>
    <t>n-Tk20</t>
  </si>
  <si>
    <t>n-Tp1</t>
  </si>
  <si>
    <t>n-Tk7</t>
  </si>
  <si>
    <t>n-Ts1</t>
  </si>
  <si>
    <t>n-Tc17</t>
  </si>
  <si>
    <t>n-Te3</t>
  </si>
  <si>
    <t>n-Tc32</t>
  </si>
  <si>
    <t>n-Tk21</t>
  </si>
  <si>
    <t>n-Ts11</t>
  </si>
  <si>
    <t>n-Tc11</t>
  </si>
  <si>
    <t>n-Tp12</t>
  </si>
  <si>
    <t>n-Tk19</t>
  </si>
  <si>
    <t>n-Ta36</t>
  </si>
  <si>
    <t>n-Tn1</t>
  </si>
  <si>
    <t>n-Tc23</t>
  </si>
  <si>
    <t>n-Tc10</t>
  </si>
  <si>
    <t>n-Tt18</t>
  </si>
  <si>
    <t>n-Tc1</t>
  </si>
  <si>
    <t>n-Tc34</t>
  </si>
  <si>
    <t>n-Ti12</t>
  </si>
  <si>
    <t>n-Tl15</t>
  </si>
  <si>
    <t>n-Tg22</t>
  </si>
  <si>
    <t>n-Ti17</t>
  </si>
  <si>
    <t>n-Ts13</t>
  </si>
  <si>
    <t>n-Tp4</t>
  </si>
  <si>
    <t>n-Ti6</t>
  </si>
  <si>
    <t>n-Tp7</t>
  </si>
  <si>
    <t>n-Tt17</t>
  </si>
  <si>
    <t>n-Te21</t>
  </si>
  <si>
    <t>n-Tf7</t>
  </si>
  <si>
    <t>n-Td8</t>
  </si>
  <si>
    <t>n-Tf4</t>
  </si>
  <si>
    <t>n-Ta17</t>
  </si>
  <si>
    <t>n-Tm6</t>
  </si>
  <si>
    <t>n-Ts4</t>
  </si>
  <si>
    <t>n-Ti16</t>
  </si>
  <si>
    <t>n-Ti4</t>
  </si>
  <si>
    <t>n-Ta16</t>
  </si>
  <si>
    <t>n-Tq14</t>
  </si>
  <si>
    <t>n-Tg21</t>
  </si>
  <si>
    <t>n-Te13</t>
  </si>
  <si>
    <t>n-Tt12</t>
  </si>
  <si>
    <t>n-Tp16</t>
  </si>
  <si>
    <t>n-Ta34</t>
  </si>
  <si>
    <t>n-Ta39</t>
  </si>
  <si>
    <t>n-Tp9</t>
  </si>
  <si>
    <t>n-Tv17</t>
  </si>
  <si>
    <t>n-Tv23</t>
  </si>
  <si>
    <t>n-Tm9</t>
  </si>
  <si>
    <t>n-Tk27</t>
  </si>
  <si>
    <t>n-Tt6</t>
  </si>
  <si>
    <t>n-Tt8</t>
  </si>
  <si>
    <t>n-Tk17</t>
  </si>
  <si>
    <t>n-Tt15</t>
  </si>
  <si>
    <t>n-Ty7</t>
  </si>
  <si>
    <t>n-Tl17</t>
  </si>
  <si>
    <t>n-Tr9</t>
  </si>
  <si>
    <t>n-Tg8</t>
  </si>
  <si>
    <t>n-Tc57</t>
  </si>
  <si>
    <t>n-Ti7</t>
  </si>
  <si>
    <t>n-Tw7</t>
  </si>
  <si>
    <t>n-Ta27</t>
  </si>
  <si>
    <t>n-Tv14</t>
  </si>
  <si>
    <t>n-Tp8</t>
  </si>
  <si>
    <t>n-Te14</t>
  </si>
  <si>
    <t>n-Tn12</t>
  </si>
  <si>
    <t>n-Tm15</t>
  </si>
  <si>
    <t>n-Ts9</t>
  </si>
  <si>
    <t>n-Tk16</t>
  </si>
  <si>
    <t>n-Tp15</t>
  </si>
  <si>
    <t>n-Tp2</t>
  </si>
  <si>
    <t>n-Ty8</t>
  </si>
  <si>
    <t>n-Tr8</t>
  </si>
  <si>
    <t>n-Tk29</t>
  </si>
  <si>
    <t>n-Tr15</t>
  </si>
  <si>
    <t>n-Tc56</t>
  </si>
  <si>
    <t>n-Ts19</t>
  </si>
  <si>
    <t>n-Ts24</t>
  </si>
  <si>
    <t>n-Tr21</t>
  </si>
  <si>
    <t>n-Tk18</t>
  </si>
  <si>
    <t>n-Tt7</t>
  </si>
  <si>
    <t>n-Tw2</t>
  </si>
  <si>
    <t>n-Ts18</t>
  </si>
  <si>
    <t>n-Tl5</t>
  </si>
  <si>
    <t>n-Td12</t>
  </si>
  <si>
    <t>n-Tr3</t>
  </si>
  <si>
    <t>n-Ts12</t>
  </si>
  <si>
    <t>n-Tr1</t>
  </si>
  <si>
    <t>n-Tk14</t>
  </si>
  <si>
    <t>n-Tp14</t>
  </si>
  <si>
    <t>n-Te9</t>
  </si>
  <si>
    <t>n-Tk30</t>
  </si>
  <si>
    <t>n-Tl4</t>
  </si>
  <si>
    <t>n-Th8</t>
  </si>
  <si>
    <t>n-Tg20</t>
  </si>
  <si>
    <t>n-Tg27</t>
  </si>
  <si>
    <t>n-Tk28</t>
  </si>
  <si>
    <t>n-Tv3</t>
  </si>
  <si>
    <t>n-Tw4</t>
  </si>
  <si>
    <t>n-Ts2</t>
  </si>
  <si>
    <t>n-Tk26</t>
  </si>
  <si>
    <t>n-Tq7</t>
  </si>
  <si>
    <t>n-Ti11</t>
  </si>
  <si>
    <t>n-Tv16</t>
  </si>
  <si>
    <t>n-Tf6</t>
  </si>
  <si>
    <t>n-Tl7</t>
  </si>
  <si>
    <t>n-Td15</t>
  </si>
  <si>
    <t>n-Te5</t>
  </si>
  <si>
    <t>n-Tq15</t>
  </si>
  <si>
    <t>n-Tl26</t>
  </si>
  <si>
    <t>n-Td5</t>
  </si>
  <si>
    <t>n-Tg1</t>
  </si>
  <si>
    <t>n-Td4</t>
  </si>
  <si>
    <t>n-Tg28</t>
  </si>
  <si>
    <t>n-Ta9</t>
  </si>
  <si>
    <t>n-Ta29</t>
  </si>
  <si>
    <t>n-Tg29</t>
  </si>
  <si>
    <t>n-Ts14</t>
  </si>
  <si>
    <t>n-Te7</t>
  </si>
  <si>
    <t>n-Tm13</t>
  </si>
  <si>
    <t>n-Tt5</t>
  </si>
  <si>
    <t>n-Ts20</t>
  </si>
  <si>
    <t>n-Tf5</t>
  </si>
  <si>
    <t>n-Tf1</t>
  </si>
  <si>
    <t>n-Ts5</t>
  </si>
  <si>
    <t>n-Te8</t>
  </si>
  <si>
    <t>n-Tg10</t>
  </si>
  <si>
    <t>n-Tg23</t>
  </si>
  <si>
    <t>n-Tg24</t>
  </si>
  <si>
    <t>n-Tg17</t>
  </si>
  <si>
    <t>n-Te12</t>
  </si>
  <si>
    <t>n-Tw6</t>
  </si>
  <si>
    <t>n-Tk11</t>
  </si>
  <si>
    <t>n-Tg19</t>
  </si>
  <si>
    <t>n-Ti10</t>
  </si>
  <si>
    <t>n-Tr17</t>
  </si>
  <si>
    <t>n-Tl6</t>
  </si>
  <si>
    <t>n-Ts8</t>
  </si>
  <si>
    <t>n-Td3</t>
  </si>
  <si>
    <t>n-Tr5</t>
  </si>
  <si>
    <t>n-Tc51</t>
  </si>
  <si>
    <t>n-Tv9</t>
  </si>
  <si>
    <t>n-Tc21</t>
  </si>
  <si>
    <t>n-Tq12</t>
  </si>
  <si>
    <t>n-Ta35</t>
  </si>
  <si>
    <t>n-Tsta1</t>
  </si>
  <si>
    <t>n-Ta2</t>
  </si>
  <si>
    <t>n-Tc5</t>
  </si>
  <si>
    <t>n-Tw1</t>
  </si>
  <si>
    <t>n-Td2</t>
  </si>
  <si>
    <t>n-Tv13</t>
  </si>
  <si>
    <t>n-Tl1</t>
  </si>
  <si>
    <t>n-Tt2</t>
  </si>
  <si>
    <t>n-Tn3</t>
  </si>
  <si>
    <t>n-Tk8</t>
  </si>
  <si>
    <t>n-Tg9</t>
  </si>
  <si>
    <t>n-Ta23</t>
  </si>
  <si>
    <t>n-Ty6</t>
  </si>
  <si>
    <t>n-Tp13</t>
  </si>
  <si>
    <t>n-Te4</t>
  </si>
  <si>
    <t>n-Ta26</t>
  </si>
  <si>
    <t>n-Ta25</t>
  </si>
  <si>
    <t>n-Tm18</t>
  </si>
  <si>
    <t>n-Te2</t>
  </si>
  <si>
    <t>n-Tl13</t>
  </si>
  <si>
    <t>n-Ta31</t>
  </si>
  <si>
    <t>n-Tl2</t>
  </si>
  <si>
    <t>n-Tl3</t>
  </si>
  <si>
    <t>n-Ta32</t>
  </si>
  <si>
    <t>n-Ta33</t>
  </si>
  <si>
    <t>n-Tl23</t>
  </si>
  <si>
    <t>n-Ta24</t>
  </si>
  <si>
    <t>n-Ts3</t>
  </si>
  <si>
    <t>n-Ta20</t>
  </si>
  <si>
    <t>n-Ta21</t>
  </si>
  <si>
    <t>n-Ta30</t>
  </si>
  <si>
    <t>n-Tq11</t>
  </si>
  <si>
    <t>n-Ta4</t>
  </si>
  <si>
    <t xml:space="preserve">UCSC browser </t>
  </si>
  <si>
    <t>MGI(*)</t>
  </si>
  <si>
    <t>n-Th9</t>
  </si>
  <si>
    <t>n-Td13</t>
  </si>
  <si>
    <t>n-Ta28</t>
  </si>
  <si>
    <t>n-Ta10</t>
  </si>
  <si>
    <t>n-Tp10</t>
  </si>
  <si>
    <t>n-Tr16</t>
  </si>
  <si>
    <t>n-Tt11</t>
  </si>
  <si>
    <t>n-Tc18</t>
  </si>
  <si>
    <t>n-Tv19</t>
  </si>
  <si>
    <t>n-Tt13</t>
  </si>
  <si>
    <t>n-Ts22</t>
  </si>
  <si>
    <t>n-Tm5</t>
  </si>
  <si>
    <t>n-Tq3</t>
  </si>
  <si>
    <t>n-Tq1</t>
  </si>
  <si>
    <t>n-Tv5</t>
  </si>
  <si>
    <t>n-Tl24</t>
  </si>
  <si>
    <t>n-Tm12</t>
  </si>
  <si>
    <t>n-Ta11</t>
  </si>
  <si>
    <t>n-Ts25</t>
  </si>
  <si>
    <t>n-Tg4</t>
  </si>
  <si>
    <t>n-Tg5</t>
  </si>
  <si>
    <t>n-Te18</t>
  </si>
  <si>
    <t>n-Tq8</t>
  </si>
  <si>
    <t>n-Tl11</t>
  </si>
  <si>
    <t>n-Ta12</t>
  </si>
  <si>
    <t>n-Tv18</t>
  </si>
  <si>
    <t>n-Ta7</t>
  </si>
  <si>
    <t>n-Tr23</t>
  </si>
  <si>
    <t>n-Ts6</t>
  </si>
  <si>
    <t>n-Tv2</t>
  </si>
  <si>
    <t>n-Tw8</t>
  </si>
  <si>
    <t>n-Tt3</t>
  </si>
  <si>
    <t>n-Tk15</t>
  </si>
  <si>
    <t>n-Ti14</t>
  </si>
  <si>
    <t>n-Th10</t>
  </si>
  <si>
    <t>n-Tn4</t>
  </si>
  <si>
    <t>n-Tk22</t>
  </si>
  <si>
    <t>n-Tq2</t>
  </si>
  <si>
    <t>n-Tv4</t>
  </si>
  <si>
    <t>n-Ti15</t>
  </si>
  <si>
    <t>n-Tc42</t>
  </si>
  <si>
    <t>n-Td11</t>
  </si>
  <si>
    <t>n-Ty5</t>
  </si>
  <si>
    <t>n-Ta18</t>
  </si>
  <si>
    <t>n-Tg6</t>
  </si>
  <si>
    <t>n-Tc38</t>
  </si>
  <si>
    <t>n-Tg14</t>
  </si>
  <si>
    <t>n-Th2</t>
  </si>
  <si>
    <t>n-Tc39</t>
  </si>
  <si>
    <t>n-Tg16</t>
  </si>
  <si>
    <t>n-Ti3</t>
  </si>
  <si>
    <t>n-Tc15</t>
  </si>
  <si>
    <t>n-Tq5</t>
  </si>
  <si>
    <t>n-Td10</t>
  </si>
  <si>
    <t>n-Tk24</t>
  </si>
  <si>
    <t>n-Tc22</t>
  </si>
  <si>
    <t>n-Tc20</t>
  </si>
  <si>
    <t>n-Tc26</t>
  </si>
  <si>
    <t>n-Tt10</t>
  </si>
  <si>
    <t>n-Tv10</t>
  </si>
  <si>
    <t>n-Ta1</t>
  </si>
  <si>
    <t>n-Tk23</t>
  </si>
  <si>
    <t>n-Tc28</t>
  </si>
  <si>
    <t>n-Tk1</t>
  </si>
  <si>
    <t>n-Tc27</t>
  </si>
  <si>
    <t>n-Tc13</t>
  </si>
  <si>
    <t>n-Te19</t>
  </si>
  <si>
    <t>n-Te20</t>
  </si>
  <si>
    <t>n-Tc25</t>
  </si>
  <si>
    <t>n-Tc2</t>
  </si>
  <si>
    <t>n-Tc41</t>
  </si>
  <si>
    <t>n-Tf2</t>
  </si>
  <si>
    <t>n-Tc50</t>
  </si>
  <si>
    <t>n-Tk4</t>
  </si>
  <si>
    <t>n-Tc40</t>
  </si>
  <si>
    <t>n-Tt1</t>
  </si>
  <si>
    <t>n-Tk9</t>
  </si>
  <si>
    <t>n-Tr20</t>
  </si>
  <si>
    <t>n-Ta5</t>
  </si>
  <si>
    <t>n-Tc48</t>
  </si>
  <si>
    <t>n-Tc14</t>
  </si>
  <si>
    <t>n-Tk3</t>
  </si>
  <si>
    <t>n-Tm3</t>
  </si>
  <si>
    <t>n-Ta6</t>
  </si>
  <si>
    <t>n-Tn2</t>
  </si>
  <si>
    <t>n-Ts15</t>
  </si>
  <si>
    <t>n-Tc44</t>
  </si>
  <si>
    <t>n-Tg15</t>
  </si>
  <si>
    <t>n-Tc36</t>
  </si>
  <si>
    <t>n-Te1</t>
  </si>
  <si>
    <t>n-Tc47</t>
  </si>
  <si>
    <t>n-Tr13</t>
  </si>
  <si>
    <t>n-Tk6</t>
  </si>
  <si>
    <t>n-Tm4</t>
  </si>
  <si>
    <t>n-Tc35</t>
  </si>
  <si>
    <t>n-Tc9</t>
  </si>
  <si>
    <t>n-Tc49</t>
  </si>
  <si>
    <t>n-Tc43</t>
  </si>
  <si>
    <t>n-Tm2</t>
  </si>
  <si>
    <t>n-Th1</t>
  </si>
  <si>
    <t>n-Tk5</t>
  </si>
  <si>
    <t>n-Tc29</t>
  </si>
  <si>
    <t>n-Tc53</t>
  </si>
  <si>
    <t>n-Ts16</t>
  </si>
  <si>
    <t>n-Tc19</t>
  </si>
  <si>
    <t>n-Tc4</t>
  </si>
  <si>
    <t>n-Tp11</t>
  </si>
  <si>
    <t>n-Tq13</t>
  </si>
  <si>
    <t>n-Tn5</t>
  </si>
  <si>
    <t>n-Ti13</t>
  </si>
  <si>
    <t>n-Tm1</t>
  </si>
  <si>
    <t>n-Tc6</t>
  </si>
  <si>
    <t>n-Th11</t>
  </si>
  <si>
    <t>n-Ta3</t>
  </si>
  <si>
    <t>n-Tc33</t>
  </si>
  <si>
    <t>n-Tc8</t>
  </si>
  <si>
    <t>n-Tl14</t>
  </si>
  <si>
    <t>n-Tc7</t>
  </si>
  <si>
    <t>n-Tm10</t>
  </si>
  <si>
    <t>n-Tc37</t>
  </si>
  <si>
    <t>n-Tg3</t>
  </si>
  <si>
    <t>tags with unique match</t>
    <phoneticPr fontId="4" type="noConversion"/>
  </si>
  <si>
    <t>total
tags</t>
    <phoneticPr fontId="4" type="noConversion"/>
  </si>
  <si>
    <t>% tags
with
unique match</t>
    <phoneticPr fontId="4" type="noConversion"/>
  </si>
  <si>
    <t>total
tag
density</t>
    <phoneticPr fontId="4" type="noConversion"/>
  </si>
  <si>
    <t>chr11_1821_tRNASer_GCT-</t>
    <phoneticPr fontId="4" type="noConversion"/>
  </si>
  <si>
    <t>chr11_1880_tRNATrp_CCA-</t>
    <phoneticPr fontId="4" type="noConversion"/>
  </si>
  <si>
    <t>chr15_913_tRNAMet_CAT-</t>
    <phoneticPr fontId="4" type="noConversion"/>
  </si>
  <si>
    <t>n-Ta37</t>
  </si>
  <si>
    <t>Average scores for POLR3A and POLR3D in rep 1 and rep2</t>
  </si>
  <si>
    <t>score
POLR3A
rep2</t>
  </si>
  <si>
    <t>scores
POLR3A
rep1</t>
  </si>
  <si>
    <t>scores
POLR3D
rep1</t>
  </si>
  <si>
    <t>score
POLR3D
rep2</t>
  </si>
  <si>
    <t>Table S1.  All annotated mouse tRNA genes are listed together with their chromosomal location, a link to the UCSC genome browser, and the tag scores for the anti-POLR3A and anti-POLR3D immunoprecipitations as indicated on top of the columns. The genes are listed in order of decreasing total tag density scores (column 11). The genes with total tag density of less than 5 (column 11) were considered not or very poorly transcribed (in pink in column 1). The tertiles to which the remaining genes belong are indicated in orange (lowest tertile), green (middle tertile), and blue (highest tertile) in the first column. In the second and third columns (tRNA gene), the initiator methionine tRNA genes are indicated in turquoise, the two tRNA selenocysteine(tRNASeC) are indicated in yellow, the genes that are unique in coding for a given isoacceptor are indicated in purple. In the tenth column (% tags with unique matches), the 23 cases with a total tag score above 5 but with less than 50% unique tags are highlighted in pale yellow. Of these genes, 15 belong to a set of three repeats of a cluster of 5 genes located on chr1:172,994,111-173,012,318, 2 correspond to tRNALys_CTT genes on chr17:23,670,738-23,672,553, 4 belong to a duplication of two tRNA genes (tRNAAsn_GTT and tRNAHis_GTG) on chr3:96,255,114-96,263,375, and 2 to a duplication of tRNAGly_CCC on chr3:96155090-96186904. The scores for these repeated genes should be considered with caution. (*) Official gene nomenclature by MGI (http://www.informatics.jax.org/).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</si>
</sst>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9" x14ac:knownFonts="1">
    <font>
      <sz val="10"/>
      <name val="Arial"/>
      <family val="2"/>
    </font>
    <font>
      <sz val="10"/>
      <name val="Arial"/>
      <family val="2"/>
    </font>
    <font>
      <sz val="10"/>
      <name val="Arial"/>
      <family val="2"/>
    </font>
    <font>
      <u/>
      <sz val="10"/>
      <color indexed="12"/>
      <name val="Arial"/>
      <family val="2"/>
    </font>
    <font>
      <sz val="8"/>
      <name val="Verdana"/>
    </font>
    <font>
      <b/>
      <sz val="10"/>
      <name val="Arial"/>
      <family val="2"/>
    </font>
    <font>
      <sz val="10"/>
      <name val="Arial"/>
      <family val="2"/>
    </font>
    <font>
      <i/>
      <sz val="10"/>
      <name val="Arial"/>
    </font>
    <font>
      <u/>
      <sz val="10"/>
      <color theme="11"/>
      <name val="Arial"/>
      <family val="2"/>
    </font>
  </fonts>
  <fills count="13">
    <fill>
      <patternFill patternType="none"/>
    </fill>
    <fill>
      <patternFill patternType="gray125"/>
    </fill>
    <fill>
      <patternFill patternType="solid">
        <fgColor indexed="35"/>
        <bgColor indexed="64"/>
      </patternFill>
    </fill>
    <fill>
      <patternFill patternType="solid">
        <fgColor indexed="35"/>
        <bgColor indexed="45"/>
      </patternFill>
    </fill>
    <fill>
      <patternFill patternType="solid">
        <fgColor indexed="39"/>
        <bgColor indexed="64"/>
      </patternFill>
    </fill>
    <fill>
      <patternFill patternType="solid">
        <fgColor indexed="27"/>
        <bgColor indexed="64"/>
      </patternFill>
    </fill>
    <fill>
      <patternFill patternType="solid">
        <fgColor indexed="37"/>
        <bgColor indexed="64"/>
      </patternFill>
    </fill>
    <fill>
      <patternFill patternType="solid">
        <fgColor indexed="34"/>
        <bgColor indexed="64"/>
      </patternFill>
    </fill>
    <fill>
      <patternFill patternType="solid">
        <fgColor indexed="38"/>
        <bgColor indexed="64"/>
      </patternFill>
    </fill>
    <fill>
      <patternFill patternType="solid">
        <fgColor indexed="26"/>
        <bgColor indexed="64"/>
      </patternFill>
    </fill>
    <fill>
      <patternFill patternType="solid">
        <fgColor indexed="27"/>
        <bgColor indexed="49"/>
      </patternFill>
    </fill>
    <fill>
      <patternFill patternType="solid">
        <fgColor indexed="27"/>
        <bgColor indexed="51"/>
      </patternFill>
    </fill>
    <fill>
      <patternFill patternType="solid">
        <fgColor indexed="3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164" fontId="1" fillId="0" borderId="0" applyBorder="0" applyAlignment="0" applyProtection="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93">
    <xf numFmtId="0" fontId="0" fillId="0" borderId="0" xfId="0"/>
    <xf numFmtId="0" fontId="0" fillId="0" borderId="0" xfId="2" applyFont="1"/>
    <xf numFmtId="0" fontId="0" fillId="0" borderId="0" xfId="2" applyFont="1"/>
    <xf numFmtId="0" fontId="0" fillId="2" borderId="0" xfId="2" applyFont="1" applyFill="1"/>
    <xf numFmtId="0" fontId="0" fillId="2" borderId="0" xfId="0" applyFill="1"/>
    <xf numFmtId="1" fontId="1" fillId="0" borderId="0" xfId="1" applyNumberFormat="1"/>
    <xf numFmtId="2" fontId="0" fillId="0" borderId="0" xfId="2" applyNumberFormat="1" applyFont="1"/>
    <xf numFmtId="1" fontId="0" fillId="0" borderId="0" xfId="2" applyNumberFormat="1" applyFont="1"/>
    <xf numFmtId="2" fontId="0" fillId="0" borderId="0" xfId="2" applyNumberFormat="1" applyFont="1" applyFill="1"/>
    <xf numFmtId="0" fontId="0" fillId="0" borderId="0" xfId="2" applyFont="1" applyFill="1"/>
    <xf numFmtId="0" fontId="0" fillId="0" borderId="0" xfId="0" applyFill="1"/>
    <xf numFmtId="1" fontId="2" fillId="4" borderId="1" xfId="1" applyNumberFormat="1" applyFont="1" applyFill="1" applyBorder="1" applyAlignment="1">
      <alignment horizontal="center"/>
    </xf>
    <xf numFmtId="1" fontId="2" fillId="6" borderId="1" xfId="1" applyNumberFormat="1" applyFont="1" applyFill="1" applyBorder="1" applyAlignment="1">
      <alignment horizontal="center"/>
    </xf>
    <xf numFmtId="1" fontId="2" fillId="7" borderId="1" xfId="1" applyNumberFormat="1" applyFont="1" applyFill="1" applyBorder="1" applyAlignment="1">
      <alignment horizontal="center"/>
    </xf>
    <xf numFmtId="1" fontId="2" fillId="7" borderId="1" xfId="1" applyNumberFormat="1" applyFont="1" applyFill="1" applyBorder="1" applyAlignment="1">
      <alignment horizontal="center" wrapText="1"/>
    </xf>
    <xf numFmtId="1" fontId="5" fillId="0" borderId="1" xfId="2" applyNumberFormat="1" applyFont="1" applyBorder="1" applyAlignment="1">
      <alignment horizontal="center" vertical="center"/>
    </xf>
    <xf numFmtId="0" fontId="0" fillId="0" borderId="0" xfId="2" applyNumberFormat="1" applyFont="1"/>
    <xf numFmtId="2" fontId="0" fillId="0" borderId="0" xfId="2" applyNumberFormat="1" applyFont="1" applyFill="1"/>
    <xf numFmtId="1" fontId="5" fillId="0" borderId="1" xfId="2" applyNumberFormat="1" applyFont="1" applyFill="1" applyBorder="1" applyAlignment="1">
      <alignment horizontal="center" vertical="center"/>
    </xf>
    <xf numFmtId="1" fontId="2" fillId="12" borderId="1" xfId="1" applyNumberFormat="1" applyFont="1" applyFill="1" applyBorder="1" applyAlignment="1">
      <alignment horizontal="center"/>
    </xf>
    <xf numFmtId="1" fontId="2" fillId="12" borderId="1" xfId="1" applyNumberFormat="1" applyFont="1" applyFill="1" applyBorder="1" applyAlignment="1">
      <alignment horizontal="center" wrapText="1"/>
    </xf>
    <xf numFmtId="1" fontId="0" fillId="0" borderId="0" xfId="2" applyNumberFormat="1" applyFont="1" applyFill="1"/>
    <xf numFmtId="1" fontId="5" fillId="0" borderId="2" xfId="2" applyNumberFormat="1" applyFont="1" applyBorder="1" applyAlignment="1">
      <alignment horizontal="center" vertical="center"/>
    </xf>
    <xf numFmtId="1" fontId="5" fillId="0" borderId="4" xfId="2" applyNumberFormat="1" applyFont="1" applyBorder="1" applyAlignment="1">
      <alignment horizontal="center" vertical="center"/>
    </xf>
    <xf numFmtId="0" fontId="1" fillId="0" borderId="1" xfId="2" applyFont="1" applyFill="1" applyBorder="1" applyAlignment="1">
      <alignment horizontal="center" vertical="center" wrapText="1"/>
    </xf>
    <xf numFmtId="2" fontId="1" fillId="0" borderId="1" xfId="2" applyNumberFormat="1" applyFont="1" applyFill="1" applyBorder="1" applyAlignment="1">
      <alignment horizontal="center" vertical="center" wrapText="1"/>
    </xf>
    <xf numFmtId="0" fontId="1" fillId="0" borderId="6" xfId="2" applyFont="1" applyBorder="1" applyAlignment="1">
      <alignment horizontal="center" vertical="center" wrapText="1"/>
    </xf>
    <xf numFmtId="2" fontId="1" fillId="0" borderId="2" xfId="2" applyNumberFormat="1" applyFont="1" applyFill="1" applyBorder="1" applyAlignment="1">
      <alignment horizontal="center" vertical="center" wrapText="1"/>
    </xf>
    <xf numFmtId="0" fontId="1" fillId="0" borderId="1" xfId="2" applyFont="1" applyBorder="1" applyAlignment="1">
      <alignment horizontal="center" vertical="center" wrapText="1"/>
    </xf>
    <xf numFmtId="1" fontId="1" fillId="0" borderId="1" xfId="2" applyNumberFormat="1" applyFont="1" applyFill="1" applyBorder="1" applyAlignment="1">
      <alignment horizontal="right" vertical="center" wrapText="1"/>
    </xf>
    <xf numFmtId="1" fontId="1" fillId="0" borderId="1" xfId="2" applyNumberFormat="1" applyFont="1" applyBorder="1" applyAlignment="1">
      <alignment horizontal="right" vertical="center" wrapText="1"/>
    </xf>
    <xf numFmtId="2" fontId="1" fillId="0" borderId="1" xfId="2" applyNumberFormat="1" applyFont="1" applyBorder="1" applyAlignment="1">
      <alignment horizontal="right" vertical="center" wrapText="1"/>
    </xf>
    <xf numFmtId="2" fontId="1" fillId="0" borderId="1" xfId="2" applyNumberFormat="1" applyFont="1" applyFill="1" applyBorder="1" applyAlignment="1">
      <alignment horizontal="right" vertical="center" wrapText="1"/>
    </xf>
    <xf numFmtId="10" fontId="1" fillId="0" borderId="1" xfId="2" applyNumberFormat="1" applyFont="1" applyBorder="1" applyAlignment="1">
      <alignment horizontal="right" vertical="center" wrapText="1"/>
    </xf>
    <xf numFmtId="2" fontId="6" fillId="0" borderId="1" xfId="2" applyNumberFormat="1" applyFont="1" applyBorder="1" applyAlignment="1">
      <alignment horizontal="right" vertical="center" wrapText="1"/>
    </xf>
    <xf numFmtId="2" fontId="6" fillId="0" borderId="1" xfId="2" applyNumberFormat="1" applyFont="1" applyFill="1" applyBorder="1" applyAlignment="1">
      <alignment horizontal="right" vertical="center" wrapText="1"/>
    </xf>
    <xf numFmtId="10" fontId="6" fillId="0" borderId="1" xfId="2" applyNumberFormat="1" applyFont="1" applyBorder="1" applyAlignment="1">
      <alignment horizontal="right" vertical="center" wrapText="1"/>
    </xf>
    <xf numFmtId="0" fontId="6" fillId="0" borderId="1" xfId="2" applyFont="1" applyBorder="1" applyAlignment="1">
      <alignment horizontal="center" vertical="center" wrapText="1"/>
    </xf>
    <xf numFmtId="1" fontId="6" fillId="0" borderId="1" xfId="2" applyNumberFormat="1" applyFont="1" applyFill="1" applyBorder="1" applyAlignment="1">
      <alignment horizontal="right" vertical="center" wrapText="1"/>
    </xf>
    <xf numFmtId="1" fontId="6" fillId="0" borderId="1" xfId="2" applyNumberFormat="1" applyFont="1" applyBorder="1" applyAlignment="1">
      <alignment horizontal="right" vertical="center" wrapText="1"/>
    </xf>
    <xf numFmtId="0" fontId="6" fillId="0" borderId="1" xfId="2" applyFont="1" applyFill="1" applyBorder="1" applyAlignment="1">
      <alignment horizontal="center" vertical="center" wrapText="1"/>
    </xf>
    <xf numFmtId="0" fontId="6" fillId="10" borderId="1" xfId="2" applyFont="1" applyFill="1" applyBorder="1" applyAlignment="1">
      <alignment horizontal="center" vertical="center" wrapText="1"/>
    </xf>
    <xf numFmtId="10" fontId="6" fillId="0" borderId="1" xfId="2" applyNumberFormat="1" applyFont="1" applyFill="1" applyBorder="1" applyAlignment="1">
      <alignment horizontal="right" vertical="center" wrapText="1"/>
    </xf>
    <xf numFmtId="10" fontId="6" fillId="3" borderId="1" xfId="2" applyNumberFormat="1" applyFont="1" applyFill="1" applyBorder="1" applyAlignment="1">
      <alignment horizontal="right" vertical="center" wrapText="1"/>
    </xf>
    <xf numFmtId="0" fontId="6" fillId="9" borderId="1" xfId="2" applyFont="1" applyFill="1" applyBorder="1" applyAlignment="1">
      <alignment horizontal="center" vertical="center" wrapText="1"/>
    </xf>
    <xf numFmtId="10" fontId="6" fillId="2" borderId="1" xfId="2" applyNumberFormat="1" applyFont="1" applyFill="1" applyBorder="1" applyAlignment="1">
      <alignment horizontal="right" vertical="center" wrapText="1"/>
    </xf>
    <xf numFmtId="0" fontId="6" fillId="11" borderId="1" xfId="2" applyFont="1" applyFill="1" applyBorder="1" applyAlignment="1">
      <alignment horizontal="center" vertical="center" wrapText="1"/>
    </xf>
    <xf numFmtId="0" fontId="6" fillId="0" borderId="1" xfId="2" applyFont="1" applyBorder="1" applyAlignment="1">
      <alignment horizontal="center"/>
    </xf>
    <xf numFmtId="10" fontId="6" fillId="0" borderId="1" xfId="2" applyNumberFormat="1" applyFont="1" applyBorder="1" applyAlignment="1">
      <alignment horizontal="center" vertical="center" wrapText="1"/>
    </xf>
    <xf numFmtId="0" fontId="6" fillId="0" borderId="1" xfId="2" applyFont="1" applyFill="1" applyBorder="1" applyAlignment="1">
      <alignment horizontal="center"/>
    </xf>
    <xf numFmtId="2" fontId="6" fillId="0" borderId="1" xfId="2" applyNumberFormat="1" applyFont="1" applyBorder="1" applyAlignment="1">
      <alignment horizontal="right" vertical="center"/>
    </xf>
    <xf numFmtId="2" fontId="6" fillId="0" borderId="1" xfId="2" applyNumberFormat="1" applyFont="1" applyFill="1" applyBorder="1" applyAlignment="1">
      <alignment horizontal="right" vertical="center"/>
    </xf>
    <xf numFmtId="10" fontId="6" fillId="0" borderId="1" xfId="2" applyNumberFormat="1" applyFont="1" applyBorder="1" applyAlignment="1">
      <alignment horizontal="right" vertical="center"/>
    </xf>
    <xf numFmtId="10" fontId="6" fillId="2" borderId="1" xfId="2" applyNumberFormat="1" applyFont="1" applyFill="1" applyBorder="1" applyAlignment="1">
      <alignment horizontal="right" vertical="center"/>
    </xf>
    <xf numFmtId="10" fontId="6" fillId="0" borderId="1" xfId="2" applyNumberFormat="1" applyFont="1" applyFill="1" applyBorder="1" applyAlignment="1">
      <alignment horizontal="right" vertical="center"/>
    </xf>
    <xf numFmtId="0" fontId="6" fillId="8" borderId="1" xfId="2" applyFont="1" applyFill="1" applyBorder="1" applyAlignment="1">
      <alignment horizontal="center"/>
    </xf>
    <xf numFmtId="0" fontId="6" fillId="5" borderId="1" xfId="2" applyFont="1" applyFill="1" applyBorder="1" applyAlignment="1">
      <alignment horizontal="center"/>
    </xf>
    <xf numFmtId="0" fontId="6" fillId="9" borderId="1" xfId="2" applyFont="1" applyFill="1" applyBorder="1" applyAlignment="1">
      <alignment horizontal="center"/>
    </xf>
    <xf numFmtId="0" fontId="1" fillId="0" borderId="6" xfId="2" applyFont="1" applyBorder="1" applyAlignment="1">
      <alignment horizontal="center" vertical="center" wrapText="1"/>
    </xf>
    <xf numFmtId="0" fontId="5" fillId="0" borderId="1" xfId="2" applyNumberFormat="1" applyFont="1" applyBorder="1" applyAlignment="1">
      <alignment horizontal="center" vertical="center"/>
    </xf>
    <xf numFmtId="0" fontId="7" fillId="0" borderId="1" xfId="2" applyFont="1" applyBorder="1" applyAlignment="1">
      <alignment horizontal="center" vertical="center" wrapText="1"/>
    </xf>
    <xf numFmtId="0" fontId="7" fillId="1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9" borderId="1" xfId="2" applyFont="1" applyFill="1" applyBorder="1" applyAlignment="1">
      <alignment horizontal="center" vertical="center" wrapText="1"/>
    </xf>
    <xf numFmtId="0" fontId="7" fillId="11" borderId="1" xfId="2" applyFont="1" applyFill="1" applyBorder="1" applyAlignment="1">
      <alignment horizontal="center" vertical="center" wrapText="1"/>
    </xf>
    <xf numFmtId="0" fontId="7" fillId="0" borderId="1" xfId="2" applyFont="1" applyBorder="1" applyAlignment="1">
      <alignment horizontal="center"/>
    </xf>
    <xf numFmtId="0" fontId="7" fillId="8" borderId="1" xfId="2" applyFont="1" applyFill="1" applyBorder="1" applyAlignment="1">
      <alignment horizontal="center"/>
    </xf>
    <xf numFmtId="0" fontId="7" fillId="5" borderId="1" xfId="2" applyFont="1" applyFill="1" applyBorder="1" applyAlignment="1">
      <alignment horizontal="center"/>
    </xf>
    <xf numFmtId="0" fontId="7" fillId="9" borderId="1" xfId="2" applyFont="1" applyFill="1" applyBorder="1" applyAlignment="1">
      <alignment horizontal="center"/>
    </xf>
    <xf numFmtId="0" fontId="7" fillId="0" borderId="0" xfId="2" applyFont="1"/>
    <xf numFmtId="0" fontId="0" fillId="0" borderId="1" xfId="2" applyFont="1" applyFill="1" applyBorder="1" applyAlignment="1">
      <alignment horizontal="center" vertical="center" wrapText="1"/>
    </xf>
    <xf numFmtId="1" fontId="5" fillId="0" borderId="2" xfId="2" applyNumberFormat="1" applyFont="1" applyBorder="1" applyAlignment="1">
      <alignment horizontal="center" vertical="center"/>
    </xf>
    <xf numFmtId="1" fontId="5" fillId="0" borderId="4" xfId="2" applyNumberFormat="1" applyFont="1" applyBorder="1" applyAlignment="1">
      <alignment horizontal="center" vertical="center"/>
    </xf>
    <xf numFmtId="2" fontId="0" fillId="0" borderId="0" xfId="1" applyNumberFormat="1" applyFont="1" applyFill="1" applyAlignment="1">
      <alignment horizontal="left" vertical="center" wrapText="1"/>
    </xf>
    <xf numFmtId="2" fontId="0" fillId="0" borderId="0" xfId="2" applyNumberFormat="1" applyFont="1" applyFill="1" applyAlignment="1">
      <alignment horizontal="left"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4" xfId="2" applyFont="1" applyFill="1" applyBorder="1" applyAlignment="1">
      <alignment horizontal="center" vertical="center" wrapText="1"/>
    </xf>
    <xf numFmtId="2" fontId="1" fillId="0" borderId="2" xfId="2" applyNumberFormat="1" applyFont="1" applyFill="1" applyBorder="1" applyAlignment="1">
      <alignment horizontal="center" vertical="center" wrapText="1"/>
    </xf>
    <xf numFmtId="2" fontId="1" fillId="0" borderId="3" xfId="2" applyNumberFormat="1" applyFont="1" applyFill="1" applyBorder="1" applyAlignment="1">
      <alignment horizontal="center" vertical="center" wrapText="1"/>
    </xf>
    <xf numFmtId="2" fontId="1" fillId="0" borderId="4" xfId="2" applyNumberFormat="1" applyFont="1" applyFill="1" applyBorder="1" applyAlignment="1">
      <alignment horizontal="center" vertical="center" wrapText="1"/>
    </xf>
    <xf numFmtId="2" fontId="0" fillId="0" borderId="2" xfId="2"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2" applyFont="1" applyBorder="1" applyAlignment="1">
      <alignment horizontal="center" vertical="center" wrapText="1"/>
    </xf>
    <xf numFmtId="0" fontId="1" fillId="0" borderId="4" xfId="2" applyFont="1" applyBorder="1" applyAlignment="1">
      <alignment horizontal="center" vertical="center" wrapText="1"/>
    </xf>
    <xf numFmtId="1" fontId="1" fillId="0" borderId="5" xfId="2" applyNumberFormat="1" applyFont="1" applyBorder="1" applyAlignment="1">
      <alignment horizontal="center" vertical="center" wrapText="1"/>
    </xf>
    <xf numFmtId="1" fontId="1" fillId="0" borderId="6" xfId="2" applyNumberFormat="1"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1" fontId="1" fillId="0" borderId="5" xfId="2" applyNumberFormat="1" applyFont="1" applyFill="1" applyBorder="1" applyAlignment="1">
      <alignment horizontal="center" vertical="center" wrapText="1"/>
    </xf>
    <xf numFmtId="1" fontId="1" fillId="0" borderId="6" xfId="2" applyNumberFormat="1" applyFont="1" applyFill="1" applyBorder="1" applyAlignment="1">
      <alignment horizontal="center" vertical="center" wrapText="1"/>
    </xf>
    <xf numFmtId="0" fontId="1" fillId="0" borderId="5" xfId="2" applyFont="1" applyFill="1" applyBorder="1" applyAlignment="1">
      <alignment horizontal="center" vertical="center" wrapText="1"/>
    </xf>
    <xf numFmtId="0" fontId="1" fillId="0" borderId="6" xfId="2" applyFont="1" applyFill="1" applyBorder="1" applyAlignment="1">
      <alignment horizontal="center" vertical="center" wrapText="1"/>
    </xf>
  </cellXfs>
  <cellStyles count="6">
    <cellStyle name="Comma" xfId="1" builtinId="3"/>
    <cellStyle name="Followed Hyperlink" xfId="3" builtinId="9" hidden="1"/>
    <cellStyle name="Followed Hyperlink" xfId="4" builtinId="9" hidden="1"/>
    <cellStyle name="Hyperlink" xfId="2" builtinId="8"/>
    <cellStyle name="Normal" xfId="0" builtinId="0"/>
    <cellStyle name="TableStyleLight1" xfId="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25F6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AF8"/>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451"/>
  <sheetViews>
    <sheetView tabSelected="1" topLeftCell="A432" zoomScale="125" workbookViewId="0">
      <selection activeCell="A439" sqref="A439"/>
    </sheetView>
  </sheetViews>
  <sheetFormatPr defaultColWidth="11.42578125" defaultRowHeight="12.75" x14ac:dyDescent="0.2"/>
  <cols>
    <col min="1" max="1" width="4" style="5" customWidth="1"/>
    <col min="2" max="2" width="23.85546875" style="2" bestFit="1" customWidth="1"/>
    <col min="3" max="3" width="7" style="69" customWidth="1"/>
    <col min="4" max="4" width="5.42578125" style="2" bestFit="1" customWidth="1"/>
    <col min="5" max="5" width="9.7109375" style="21" bestFit="1" customWidth="1"/>
    <col min="6" max="6" width="9.7109375" style="7" bestFit="1" customWidth="1"/>
    <col min="7" max="7" width="9.42578125" style="9" customWidth="1"/>
    <col min="8" max="8" width="7.85546875" style="6" bestFit="1" customWidth="1"/>
    <col min="9" max="9" width="7.85546875" style="6" customWidth="1"/>
    <col min="10" max="10" width="7.28515625" style="8" customWidth="1"/>
    <col min="11" max="11" width="7.85546875" style="6" customWidth="1"/>
    <col min="12" max="12" width="6.42578125" style="17" customWidth="1"/>
    <col min="13" max="13" width="8.7109375" style="1" customWidth="1"/>
    <col min="14" max="16" width="8" style="1" customWidth="1"/>
    <col min="17" max="17" width="7.85546875" style="6" customWidth="1"/>
    <col min="18" max="20" width="7.85546875" style="1" customWidth="1"/>
    <col min="21" max="63" width="10.85546875" style="9"/>
    <col min="64" max="142" width="10.85546875" style="1"/>
  </cols>
  <sheetData>
    <row r="1" spans="1:142" x14ac:dyDescent="0.2">
      <c r="A1" s="22">
        <v>1</v>
      </c>
      <c r="B1" s="71">
        <v>2</v>
      </c>
      <c r="C1" s="72"/>
      <c r="D1" s="23">
        <v>3</v>
      </c>
      <c r="E1" s="18">
        <v>4</v>
      </c>
      <c r="F1" s="15">
        <v>5</v>
      </c>
      <c r="G1" s="15">
        <v>6</v>
      </c>
      <c r="H1" s="15">
        <v>7</v>
      </c>
      <c r="I1" s="15">
        <v>8</v>
      </c>
      <c r="J1" s="15">
        <v>9</v>
      </c>
      <c r="K1" s="15">
        <v>10</v>
      </c>
      <c r="L1" s="18">
        <v>11</v>
      </c>
      <c r="M1" s="15">
        <v>12</v>
      </c>
      <c r="N1" s="15">
        <v>13</v>
      </c>
      <c r="O1" s="15">
        <v>14</v>
      </c>
      <c r="P1" s="15">
        <v>15</v>
      </c>
      <c r="Q1" s="59">
        <v>16</v>
      </c>
      <c r="R1" s="15">
        <v>17</v>
      </c>
      <c r="S1" s="15">
        <v>18</v>
      </c>
      <c r="T1" s="15">
        <v>19</v>
      </c>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row>
    <row r="2" spans="1:142" ht="51" x14ac:dyDescent="0.2">
      <c r="A2" s="85" t="s">
        <v>0</v>
      </c>
      <c r="B2" s="83" t="s">
        <v>289</v>
      </c>
      <c r="C2" s="84"/>
      <c r="D2" s="87" t="s">
        <v>102</v>
      </c>
      <c r="E2" s="89" t="s">
        <v>103</v>
      </c>
      <c r="F2" s="85" t="s">
        <v>104</v>
      </c>
      <c r="G2" s="91" t="s">
        <v>55</v>
      </c>
      <c r="H2" s="81" t="s">
        <v>901</v>
      </c>
      <c r="I2" s="79"/>
      <c r="J2" s="79"/>
      <c r="K2" s="79"/>
      <c r="L2" s="82"/>
      <c r="M2" s="70" t="s">
        <v>903</v>
      </c>
      <c r="N2" s="70" t="s">
        <v>902</v>
      </c>
      <c r="O2" s="70" t="s">
        <v>904</v>
      </c>
      <c r="P2" s="70" t="s">
        <v>905</v>
      </c>
      <c r="Q2" s="70" t="s">
        <v>903</v>
      </c>
      <c r="R2" s="70" t="s">
        <v>902</v>
      </c>
      <c r="S2" s="70" t="s">
        <v>904</v>
      </c>
      <c r="T2" s="70" t="s">
        <v>905</v>
      </c>
    </row>
    <row r="3" spans="1:142" ht="63.75" x14ac:dyDescent="0.2">
      <c r="A3" s="86"/>
      <c r="B3" s="26" t="s">
        <v>770</v>
      </c>
      <c r="C3" s="58" t="s">
        <v>771</v>
      </c>
      <c r="D3" s="88"/>
      <c r="E3" s="90"/>
      <c r="F3" s="86"/>
      <c r="G3" s="92"/>
      <c r="H3" s="25" t="s">
        <v>893</v>
      </c>
      <c r="I3" s="25" t="s">
        <v>72</v>
      </c>
      <c r="J3" s="25" t="s">
        <v>894</v>
      </c>
      <c r="K3" s="25" t="s">
        <v>895</v>
      </c>
      <c r="L3" s="27" t="s">
        <v>896</v>
      </c>
      <c r="M3" s="75" t="s">
        <v>445</v>
      </c>
      <c r="N3" s="76"/>
      <c r="O3" s="76"/>
      <c r="P3" s="77"/>
      <c r="Q3" s="78" t="s">
        <v>446</v>
      </c>
      <c r="R3" s="79"/>
      <c r="S3" s="79"/>
      <c r="T3" s="80"/>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row>
    <row r="4" spans="1:142" ht="25.5" x14ac:dyDescent="0.2">
      <c r="A4" s="19">
        <v>1</v>
      </c>
      <c r="B4" s="28" t="s">
        <v>897</v>
      </c>
      <c r="C4" s="60" t="s">
        <v>536</v>
      </c>
      <c r="D4" s="28" t="s">
        <v>88</v>
      </c>
      <c r="E4" s="29">
        <v>68876544</v>
      </c>
      <c r="F4" s="30">
        <v>68876625</v>
      </c>
      <c r="G4" s="24" t="str">
        <f>HYPERLINK("http://genome.ucsc.edu/cgi-bin/hgTracks?position=chr11:68876432-68876775", "Go2UCSC")</f>
        <v>Go2UCSC</v>
      </c>
      <c r="H4" s="31">
        <v>1540.5</v>
      </c>
      <c r="I4" s="31">
        <v>16.083333333341674</v>
      </c>
      <c r="J4" s="32">
        <v>1556.5833333333417</v>
      </c>
      <c r="K4" s="33">
        <v>0.98966754108891808</v>
      </c>
      <c r="L4" s="32">
        <v>452.49515503876211</v>
      </c>
      <c r="M4" s="31">
        <v>1355.4933333333299</v>
      </c>
      <c r="N4" s="31">
        <v>980.96</v>
      </c>
      <c r="O4" s="31">
        <v>1921.76</v>
      </c>
      <c r="P4" s="31">
        <v>1903.78666666667</v>
      </c>
      <c r="Q4" s="31">
        <v>16</v>
      </c>
      <c r="R4" s="31">
        <v>13.6666666666667</v>
      </c>
      <c r="S4" s="31">
        <v>18</v>
      </c>
      <c r="T4" s="31">
        <v>16.666666666699999</v>
      </c>
    </row>
    <row r="5" spans="1:142" ht="25.5" x14ac:dyDescent="0.2">
      <c r="A5" s="19">
        <v>2</v>
      </c>
      <c r="B5" s="28" t="s">
        <v>86</v>
      </c>
      <c r="C5" s="60" t="s">
        <v>537</v>
      </c>
      <c r="D5" s="28" t="s">
        <v>87</v>
      </c>
      <c r="E5" s="29">
        <v>31190888</v>
      </c>
      <c r="F5" s="30">
        <v>31190960</v>
      </c>
      <c r="G5" s="24" t="str">
        <f>HYPERLINK("http://genome.ucsc.edu/cgi-bin/hgTracks?position=chr5:31190738-31191110", "Go2UCSC")</f>
        <v>Go2UCSC</v>
      </c>
      <c r="H5" s="31">
        <v>1462.9866666666676</v>
      </c>
      <c r="I5" s="31">
        <v>0</v>
      </c>
      <c r="J5" s="32">
        <v>1462.9866666666676</v>
      </c>
      <c r="K5" s="33">
        <v>1</v>
      </c>
      <c r="L5" s="32">
        <v>392.22162645218964</v>
      </c>
      <c r="M5" s="31">
        <v>1015.64</v>
      </c>
      <c r="N5" s="31">
        <v>772.68</v>
      </c>
      <c r="O5" s="31">
        <v>2018.7066666666699</v>
      </c>
      <c r="P5" s="31">
        <v>2044.92</v>
      </c>
      <c r="Q5" s="31">
        <v>0</v>
      </c>
      <c r="R5" s="31">
        <v>0</v>
      </c>
      <c r="S5" s="31">
        <v>0</v>
      </c>
      <c r="T5" s="31">
        <v>0</v>
      </c>
    </row>
    <row r="6" spans="1:142" ht="25.5" x14ac:dyDescent="0.2">
      <c r="A6" s="19">
        <v>3</v>
      </c>
      <c r="B6" s="28" t="s">
        <v>9</v>
      </c>
      <c r="C6" s="60" t="s">
        <v>538</v>
      </c>
      <c r="D6" s="28" t="s">
        <v>85</v>
      </c>
      <c r="E6" s="29">
        <v>122203704</v>
      </c>
      <c r="F6" s="30">
        <v>122203775</v>
      </c>
      <c r="G6" s="24" t="str">
        <f>HYPERLINK("http://genome.ucsc.edu/cgi-bin/hgTracks?position=chr2:122203554-122203925", "Go2UCSC")</f>
        <v>Go2UCSC</v>
      </c>
      <c r="H6" s="34">
        <v>1395.1933333333334</v>
      </c>
      <c r="I6" s="34">
        <v>35.458333333325001</v>
      </c>
      <c r="J6" s="35">
        <v>1430.6516666666585</v>
      </c>
      <c r="K6" s="36">
        <v>0.97521525738271353</v>
      </c>
      <c r="L6" s="35">
        <v>384.58378136200497</v>
      </c>
      <c r="M6" s="34">
        <v>1146.8</v>
      </c>
      <c r="N6" s="34">
        <v>849.85333333333301</v>
      </c>
      <c r="O6" s="34">
        <v>1835.8533333333301</v>
      </c>
      <c r="P6" s="34">
        <v>1748.2666666666701</v>
      </c>
      <c r="Q6" s="34">
        <v>33</v>
      </c>
      <c r="R6" s="34">
        <v>29.875</v>
      </c>
      <c r="S6" s="34">
        <v>39.958333333299997</v>
      </c>
      <c r="T6" s="34">
        <v>39</v>
      </c>
    </row>
    <row r="7" spans="1:142" ht="25.5" x14ac:dyDescent="0.2">
      <c r="A7" s="19">
        <v>4</v>
      </c>
      <c r="B7" s="37" t="s">
        <v>160</v>
      </c>
      <c r="C7" s="60" t="s">
        <v>539</v>
      </c>
      <c r="D7" s="37" t="s">
        <v>88</v>
      </c>
      <c r="E7" s="38">
        <v>58115976</v>
      </c>
      <c r="F7" s="39">
        <v>58116082</v>
      </c>
      <c r="G7" s="40" t="str">
        <f>HYPERLINK("http://genome.ucsc.edu/cgi-bin/hgTracks?position=chr11:58115863-58116232", "Go2UCSC")</f>
        <v>Go2UCSC</v>
      </c>
      <c r="H7" s="34">
        <v>1413.2666666666657</v>
      </c>
      <c r="I7" s="34">
        <v>0</v>
      </c>
      <c r="J7" s="35">
        <v>1413.2666666666657</v>
      </c>
      <c r="K7" s="36">
        <v>1</v>
      </c>
      <c r="L7" s="35">
        <v>381.96396396396369</v>
      </c>
      <c r="M7" s="34">
        <v>1333.89333333333</v>
      </c>
      <c r="N7" s="34">
        <v>937.81333333333305</v>
      </c>
      <c r="O7" s="34">
        <v>1717.34666666667</v>
      </c>
      <c r="P7" s="34">
        <v>1664.0133333333299</v>
      </c>
      <c r="Q7" s="34">
        <v>0</v>
      </c>
      <c r="R7" s="34">
        <v>0</v>
      </c>
      <c r="S7" s="34">
        <v>0</v>
      </c>
      <c r="T7" s="34">
        <v>0</v>
      </c>
    </row>
    <row r="8" spans="1:142" ht="25.5" x14ac:dyDescent="0.2">
      <c r="A8" s="19">
        <v>5</v>
      </c>
      <c r="B8" s="37" t="s">
        <v>431</v>
      </c>
      <c r="C8" s="60" t="s">
        <v>540</v>
      </c>
      <c r="D8" s="37" t="s">
        <v>423</v>
      </c>
      <c r="E8" s="38">
        <v>79711904</v>
      </c>
      <c r="F8" s="39">
        <v>79711977</v>
      </c>
      <c r="G8" s="40" t="str">
        <f>HYPERLINK("http://genome.ucsc.edu/cgi-bin/hgTracks?position=chr10:79711843-79712127", "Go2UCSC")</f>
        <v>Go2UCSC</v>
      </c>
      <c r="H8" s="34">
        <v>959.93333333333248</v>
      </c>
      <c r="I8" s="34">
        <v>4.9083333333333368</v>
      </c>
      <c r="J8" s="35">
        <v>964.84166666666579</v>
      </c>
      <c r="K8" s="36">
        <v>0.99491280952833372</v>
      </c>
      <c r="L8" s="35">
        <v>338.54093567251431</v>
      </c>
      <c r="M8" s="34">
        <v>863.92</v>
      </c>
      <c r="N8" s="34">
        <v>564.96</v>
      </c>
      <c r="O8" s="34">
        <v>1126.8133333333301</v>
      </c>
      <c r="P8" s="34">
        <v>1284.04</v>
      </c>
      <c r="Q8" s="34">
        <v>6.8000000000000096</v>
      </c>
      <c r="R8" s="34">
        <v>2.1833333333333398</v>
      </c>
      <c r="S8" s="34">
        <v>5.85</v>
      </c>
      <c r="T8" s="34">
        <v>4.8</v>
      </c>
    </row>
    <row r="9" spans="1:142" ht="25.5" x14ac:dyDescent="0.2">
      <c r="A9" s="19">
        <v>6</v>
      </c>
      <c r="B9" s="37" t="s">
        <v>256</v>
      </c>
      <c r="C9" s="60" t="s">
        <v>541</v>
      </c>
      <c r="D9" s="37" t="s">
        <v>257</v>
      </c>
      <c r="E9" s="38">
        <v>123438543</v>
      </c>
      <c r="F9" s="39">
        <v>123438615</v>
      </c>
      <c r="G9" s="40" t="str">
        <f>HYPERLINK("http://genome.ucsc.edu/cgi-bin/hgTracks?position=chr9:123438393-123438765", "Go2UCSC")</f>
        <v>Go2UCSC</v>
      </c>
      <c r="H9" s="34">
        <v>1177.1100000000008</v>
      </c>
      <c r="I9" s="34">
        <v>3.375</v>
      </c>
      <c r="J9" s="35">
        <v>1180.4850000000008</v>
      </c>
      <c r="K9" s="36">
        <v>0.99714100560362906</v>
      </c>
      <c r="L9" s="35">
        <v>316.48391420911554</v>
      </c>
      <c r="M9" s="34">
        <v>1109.6400000000001</v>
      </c>
      <c r="N9" s="34">
        <v>827.09333333333302</v>
      </c>
      <c r="O9" s="34">
        <v>1339.04</v>
      </c>
      <c r="P9" s="34">
        <v>1432.6666666666699</v>
      </c>
      <c r="Q9" s="34">
        <v>4</v>
      </c>
      <c r="R9" s="34">
        <v>2.5</v>
      </c>
      <c r="S9" s="34">
        <v>4</v>
      </c>
      <c r="T9" s="34">
        <v>3</v>
      </c>
    </row>
    <row r="10" spans="1:142" ht="25.5" x14ac:dyDescent="0.2">
      <c r="A10" s="19">
        <v>7</v>
      </c>
      <c r="B10" s="37" t="s">
        <v>253</v>
      </c>
      <c r="C10" s="60" t="s">
        <v>542</v>
      </c>
      <c r="D10" s="37" t="s">
        <v>85</v>
      </c>
      <c r="E10" s="38">
        <v>118872486</v>
      </c>
      <c r="F10" s="39">
        <v>118872567</v>
      </c>
      <c r="G10" s="40" t="str">
        <f>HYPERLINK("http://genome.ucsc.edu/cgi-bin/hgTracks?position=chr2:118872336-118872717", "Go2UCSC")</f>
        <v>Go2UCSC</v>
      </c>
      <c r="H10" s="34">
        <v>1199.7366666666651</v>
      </c>
      <c r="I10" s="34">
        <v>1.75</v>
      </c>
      <c r="J10" s="35">
        <v>1201.4866666666651</v>
      </c>
      <c r="K10" s="36">
        <v>0.9985434711440826</v>
      </c>
      <c r="L10" s="35">
        <v>314.52530541012175</v>
      </c>
      <c r="M10" s="34">
        <v>1057.92</v>
      </c>
      <c r="N10" s="34">
        <v>756.44</v>
      </c>
      <c r="O10" s="34">
        <v>1422.7333333333299</v>
      </c>
      <c r="P10" s="34">
        <v>1561.8533333333301</v>
      </c>
      <c r="Q10" s="34">
        <v>1.5</v>
      </c>
      <c r="R10" s="34">
        <v>1.5</v>
      </c>
      <c r="S10" s="34">
        <v>2</v>
      </c>
      <c r="T10" s="34">
        <v>2</v>
      </c>
    </row>
    <row r="11" spans="1:142" ht="25.5" x14ac:dyDescent="0.2">
      <c r="A11" s="19">
        <v>8</v>
      </c>
      <c r="B11" s="37" t="s">
        <v>254</v>
      </c>
      <c r="C11" s="60" t="s">
        <v>543</v>
      </c>
      <c r="D11" s="37" t="s">
        <v>255</v>
      </c>
      <c r="E11" s="38">
        <v>124103129</v>
      </c>
      <c r="F11" s="39">
        <v>124103201</v>
      </c>
      <c r="G11" s="40" t="str">
        <f>HYPERLINK("http://genome.ucsc.edu/cgi-bin/hgTracks?position=chr8:124102979-124103351", "Go2UCSC")</f>
        <v>Go2UCSC</v>
      </c>
      <c r="H11" s="34">
        <v>1148.7799999999984</v>
      </c>
      <c r="I11" s="34">
        <v>0</v>
      </c>
      <c r="J11" s="35">
        <v>1148.7799999999984</v>
      </c>
      <c r="K11" s="36">
        <v>1</v>
      </c>
      <c r="L11" s="35">
        <v>307.98391420911486</v>
      </c>
      <c r="M11" s="34">
        <v>1021.65333333333</v>
      </c>
      <c r="N11" s="34">
        <v>733.493333333333</v>
      </c>
      <c r="O11" s="34">
        <v>1414.84</v>
      </c>
      <c r="P11" s="34">
        <v>1425.13333333333</v>
      </c>
      <c r="Q11" s="34">
        <v>0</v>
      </c>
      <c r="R11" s="34">
        <v>0</v>
      </c>
      <c r="S11" s="34">
        <v>0</v>
      </c>
      <c r="T11" s="34">
        <v>0</v>
      </c>
    </row>
    <row r="12" spans="1:142" ht="25.5" x14ac:dyDescent="0.2">
      <c r="A12" s="19">
        <v>9</v>
      </c>
      <c r="B12" s="37" t="s">
        <v>258</v>
      </c>
      <c r="C12" s="60" t="s">
        <v>544</v>
      </c>
      <c r="D12" s="37" t="s">
        <v>259</v>
      </c>
      <c r="E12" s="38">
        <v>86611305</v>
      </c>
      <c r="F12" s="39">
        <v>86611377</v>
      </c>
      <c r="G12" s="40" t="str">
        <f>HYPERLINK("http://genome.ucsc.edu/cgi-bin/hgTracks?position=chr7:86611155-86611527", "Go2UCSC")</f>
        <v>Go2UCSC</v>
      </c>
      <c r="H12" s="34">
        <v>1118.7433333333342</v>
      </c>
      <c r="I12" s="34">
        <v>0</v>
      </c>
      <c r="J12" s="35">
        <v>1118.7433333333342</v>
      </c>
      <c r="K12" s="36">
        <v>1</v>
      </c>
      <c r="L12" s="35">
        <v>299.93118856121561</v>
      </c>
      <c r="M12" s="34">
        <v>1154.82666666667</v>
      </c>
      <c r="N12" s="34">
        <v>802.54666666666697</v>
      </c>
      <c r="O12" s="34">
        <v>1271.0266666666701</v>
      </c>
      <c r="P12" s="34">
        <v>1246.5733333333301</v>
      </c>
      <c r="Q12" s="34">
        <v>0</v>
      </c>
      <c r="R12" s="34">
        <v>0</v>
      </c>
      <c r="S12" s="34">
        <v>0</v>
      </c>
      <c r="T12" s="34">
        <v>0</v>
      </c>
    </row>
    <row r="13" spans="1:142" ht="25.5" x14ac:dyDescent="0.2">
      <c r="A13" s="19">
        <v>10</v>
      </c>
      <c r="B13" s="37" t="s">
        <v>251</v>
      </c>
      <c r="C13" s="60" t="s">
        <v>545</v>
      </c>
      <c r="D13" s="37" t="s">
        <v>252</v>
      </c>
      <c r="E13" s="38">
        <v>19528782</v>
      </c>
      <c r="F13" s="39">
        <v>19528870</v>
      </c>
      <c r="G13" s="40" t="str">
        <f>HYPERLINK("http://genome.ucsc.edu/cgi-bin/hgTracks?position=chr3:19528632-19528932", "Go2UCSC")</f>
        <v>Go2UCSC</v>
      </c>
      <c r="H13" s="34">
        <v>825.32666666666682</v>
      </c>
      <c r="I13" s="34">
        <v>0</v>
      </c>
      <c r="J13" s="35">
        <v>825.32666666666682</v>
      </c>
      <c r="K13" s="36">
        <v>1</v>
      </c>
      <c r="L13" s="35">
        <v>274.19490586932454</v>
      </c>
      <c r="M13" s="34">
        <v>877.69333333333304</v>
      </c>
      <c r="N13" s="34">
        <v>637.58666666666704</v>
      </c>
      <c r="O13" s="34">
        <v>966.16</v>
      </c>
      <c r="P13" s="34">
        <v>819.86666666666702</v>
      </c>
      <c r="Q13" s="34">
        <v>0</v>
      </c>
      <c r="R13" s="34">
        <v>0</v>
      </c>
      <c r="S13" s="34">
        <v>0</v>
      </c>
      <c r="T13" s="34">
        <v>0</v>
      </c>
    </row>
    <row r="14" spans="1:142" ht="25.5" x14ac:dyDescent="0.2">
      <c r="A14" s="19">
        <v>11</v>
      </c>
      <c r="B14" s="37" t="s">
        <v>898</v>
      </c>
      <c r="C14" s="60" t="s">
        <v>546</v>
      </c>
      <c r="D14" s="37" t="s">
        <v>88</v>
      </c>
      <c r="E14" s="38">
        <v>61221418</v>
      </c>
      <c r="F14" s="39">
        <v>61221489</v>
      </c>
      <c r="G14" s="40" t="str">
        <f>HYPERLINK("http://genome.ucsc.edu/cgi-bin/hgTracks?position=chr11:61221268-61221639", "Go2UCSC")</f>
        <v>Go2UCSC</v>
      </c>
      <c r="H14" s="34">
        <v>1013.0066666666676</v>
      </c>
      <c r="I14" s="34">
        <v>0</v>
      </c>
      <c r="J14" s="35">
        <v>1013.0066666666676</v>
      </c>
      <c r="K14" s="36">
        <v>1</v>
      </c>
      <c r="L14" s="35">
        <v>272.31362007168485</v>
      </c>
      <c r="M14" s="34">
        <v>714.33333333333303</v>
      </c>
      <c r="N14" s="34">
        <v>516.18666666666695</v>
      </c>
      <c r="O14" s="34">
        <v>1312.04</v>
      </c>
      <c r="P14" s="34">
        <v>1509.4666666666701</v>
      </c>
      <c r="Q14" s="34">
        <v>0</v>
      </c>
      <c r="R14" s="34">
        <v>0</v>
      </c>
      <c r="S14" s="34">
        <v>0</v>
      </c>
      <c r="T14" s="34">
        <v>0</v>
      </c>
    </row>
    <row r="15" spans="1:142" ht="25.5" x14ac:dyDescent="0.2">
      <c r="A15" s="19">
        <v>12</v>
      </c>
      <c r="B15" s="37" t="s">
        <v>262</v>
      </c>
      <c r="C15" s="60" t="s">
        <v>547</v>
      </c>
      <c r="D15" s="37" t="s">
        <v>261</v>
      </c>
      <c r="E15" s="38">
        <v>51683558</v>
      </c>
      <c r="F15" s="39">
        <v>51683639</v>
      </c>
      <c r="G15" s="40" t="str">
        <f>HYPERLINK("http://genome.ucsc.edu/cgi-bin/hgTracks?position=chr14:51683408-51683789", "Go2UCSC")</f>
        <v>Go2UCSC</v>
      </c>
      <c r="H15" s="34">
        <v>1023.0166666666669</v>
      </c>
      <c r="I15" s="34">
        <v>11.062500000008333</v>
      </c>
      <c r="J15" s="35">
        <v>1034.0791666666753</v>
      </c>
      <c r="K15" s="36">
        <v>0.98930207632393552</v>
      </c>
      <c r="L15" s="35">
        <v>270.70135253054326</v>
      </c>
      <c r="M15" s="34">
        <v>900.06666666666695</v>
      </c>
      <c r="N15" s="34">
        <v>689.44</v>
      </c>
      <c r="O15" s="34">
        <v>1258.2666666666701</v>
      </c>
      <c r="P15" s="34">
        <v>1244.2933333333301</v>
      </c>
      <c r="Q15" s="34">
        <v>9.75</v>
      </c>
      <c r="R15" s="34">
        <v>7.0833333333333304</v>
      </c>
      <c r="S15" s="34">
        <v>13.666666666699999</v>
      </c>
      <c r="T15" s="34">
        <v>13.75</v>
      </c>
    </row>
    <row r="16" spans="1:142" ht="25.5" x14ac:dyDescent="0.2">
      <c r="A16" s="19">
        <v>13</v>
      </c>
      <c r="B16" s="37" t="s">
        <v>162</v>
      </c>
      <c r="C16" s="60" t="s">
        <v>548</v>
      </c>
      <c r="D16" s="37" t="s">
        <v>88</v>
      </c>
      <c r="E16" s="38">
        <v>68854780</v>
      </c>
      <c r="F16" s="39">
        <v>68854851</v>
      </c>
      <c r="G16" s="40" t="str">
        <f>HYPERLINK("http://genome.ucsc.edu/cgi-bin/hgTracks?position=chr11:68854669-68855001", "Go2UCSC")</f>
        <v>Go2UCSC</v>
      </c>
      <c r="H16" s="34">
        <v>889.26333333333491</v>
      </c>
      <c r="I16" s="34">
        <v>0</v>
      </c>
      <c r="J16" s="35">
        <v>889.26333333333491</v>
      </c>
      <c r="K16" s="36">
        <v>1</v>
      </c>
      <c r="L16" s="35">
        <v>267.04604604604651</v>
      </c>
      <c r="M16" s="34">
        <v>665.78666666666697</v>
      </c>
      <c r="N16" s="34">
        <v>454.01333333333298</v>
      </c>
      <c r="O16" s="34">
        <v>1099.38666666667</v>
      </c>
      <c r="P16" s="34">
        <v>1337.86666666667</v>
      </c>
      <c r="Q16" s="34">
        <v>0</v>
      </c>
      <c r="R16" s="34">
        <v>0</v>
      </c>
      <c r="S16" s="34">
        <v>0</v>
      </c>
      <c r="T16" s="34">
        <v>0</v>
      </c>
    </row>
    <row r="17" spans="1:20" ht="25.5" x14ac:dyDescent="0.2">
      <c r="A17" s="19">
        <v>14</v>
      </c>
      <c r="B17" s="37" t="s">
        <v>27</v>
      </c>
      <c r="C17" s="60" t="s">
        <v>549</v>
      </c>
      <c r="D17" s="37" t="s">
        <v>261</v>
      </c>
      <c r="E17" s="38">
        <v>55136533</v>
      </c>
      <c r="F17" s="39">
        <v>55136605</v>
      </c>
      <c r="G17" s="40" t="str">
        <f>HYPERLINK("http://genome.ucsc.edu/cgi-bin/hgTracks?position=chr14:55136383-55136755", "Go2UCSC")</f>
        <v>Go2UCSC</v>
      </c>
      <c r="H17" s="34">
        <v>925.38666666666677</v>
      </c>
      <c r="I17" s="34">
        <v>0</v>
      </c>
      <c r="J17" s="35">
        <v>925.38666666666677</v>
      </c>
      <c r="K17" s="36">
        <v>1</v>
      </c>
      <c r="L17" s="35">
        <v>248.09294012511171</v>
      </c>
      <c r="M17" s="34">
        <v>811.70666666666705</v>
      </c>
      <c r="N17" s="34">
        <v>607.76</v>
      </c>
      <c r="O17" s="34">
        <v>1079.52</v>
      </c>
      <c r="P17" s="34">
        <v>1202.56</v>
      </c>
      <c r="Q17" s="34">
        <v>0</v>
      </c>
      <c r="R17" s="34">
        <v>0</v>
      </c>
      <c r="S17" s="34">
        <v>0</v>
      </c>
      <c r="T17" s="34">
        <v>0</v>
      </c>
    </row>
    <row r="18" spans="1:20" ht="25.5" x14ac:dyDescent="0.2">
      <c r="A18" s="19">
        <v>15</v>
      </c>
      <c r="B18" s="37" t="s">
        <v>134</v>
      </c>
      <c r="C18" s="60" t="s">
        <v>550</v>
      </c>
      <c r="D18" s="37" t="s">
        <v>252</v>
      </c>
      <c r="E18" s="38">
        <v>19528995</v>
      </c>
      <c r="F18" s="39">
        <v>19529067</v>
      </c>
      <c r="G18" s="40" t="str">
        <f>HYPERLINK("http://genome.ucsc.edu/cgi-bin/hgTracks?position=chr3:19528933-19529217", "Go2UCSC")</f>
        <v>Go2UCSC</v>
      </c>
      <c r="H18" s="34">
        <v>700.45</v>
      </c>
      <c r="I18" s="34">
        <v>0</v>
      </c>
      <c r="J18" s="35">
        <v>700.45</v>
      </c>
      <c r="K18" s="36">
        <v>1</v>
      </c>
      <c r="L18" s="35">
        <v>245.7719298245614</v>
      </c>
      <c r="M18" s="34">
        <v>584.04</v>
      </c>
      <c r="N18" s="34">
        <v>358.57333333333298</v>
      </c>
      <c r="O18" s="34">
        <v>890.54666666666697</v>
      </c>
      <c r="P18" s="34">
        <v>968.64</v>
      </c>
      <c r="Q18" s="34">
        <v>0</v>
      </c>
      <c r="R18" s="34">
        <v>0</v>
      </c>
      <c r="S18" s="34">
        <v>0</v>
      </c>
      <c r="T18" s="34">
        <v>0</v>
      </c>
    </row>
    <row r="19" spans="1:20" ht="25.5" x14ac:dyDescent="0.2">
      <c r="A19" s="19">
        <v>16</v>
      </c>
      <c r="B19" s="37" t="s">
        <v>133</v>
      </c>
      <c r="C19" s="60" t="s">
        <v>551</v>
      </c>
      <c r="D19" s="37" t="s">
        <v>85</v>
      </c>
      <c r="E19" s="38">
        <v>122203099</v>
      </c>
      <c r="F19" s="39">
        <v>122203170</v>
      </c>
      <c r="G19" s="40" t="str">
        <f>HYPERLINK("http://genome.ucsc.edu/cgi-bin/hgTracks?position=chr2:122202949-122203320", "Go2UCSC")</f>
        <v>Go2UCSC</v>
      </c>
      <c r="H19" s="34">
        <v>857.61666666666656</v>
      </c>
      <c r="I19" s="34">
        <v>51.833333333325001</v>
      </c>
      <c r="J19" s="35">
        <v>909.44999999999152</v>
      </c>
      <c r="K19" s="36">
        <v>0.94300584602416249</v>
      </c>
      <c r="L19" s="35">
        <v>244.47580645161062</v>
      </c>
      <c r="M19" s="34">
        <v>797.33333333333303</v>
      </c>
      <c r="N19" s="34">
        <v>558.493333333333</v>
      </c>
      <c r="O19" s="34">
        <v>1048.5733333333301</v>
      </c>
      <c r="P19" s="34">
        <v>1026.06666666667</v>
      </c>
      <c r="Q19" s="34">
        <v>48.5</v>
      </c>
      <c r="R19" s="34">
        <v>42.375</v>
      </c>
      <c r="S19" s="34">
        <v>58.458333333299997</v>
      </c>
      <c r="T19" s="34">
        <v>58</v>
      </c>
    </row>
    <row r="20" spans="1:20" ht="25.5" x14ac:dyDescent="0.2">
      <c r="A20" s="19">
        <v>17</v>
      </c>
      <c r="B20" s="37" t="s">
        <v>260</v>
      </c>
      <c r="C20" s="60" t="s">
        <v>552</v>
      </c>
      <c r="D20" s="37" t="s">
        <v>261</v>
      </c>
      <c r="E20" s="38">
        <v>51709164</v>
      </c>
      <c r="F20" s="39">
        <v>51709253</v>
      </c>
      <c r="G20" s="40" t="str">
        <f>HYPERLINK("http://genome.ucsc.edu/cgi-bin/hgTracks?position=chr14:51709014-51709403", "Go2UCSC")</f>
        <v>Go2UCSC</v>
      </c>
      <c r="H20" s="34">
        <v>953.02000000000066</v>
      </c>
      <c r="I20" s="34">
        <v>0</v>
      </c>
      <c r="J20" s="35">
        <v>953.02000000000066</v>
      </c>
      <c r="K20" s="36">
        <v>1</v>
      </c>
      <c r="L20" s="35">
        <v>244.36410256410275</v>
      </c>
      <c r="M20" s="34">
        <v>845.77333333333297</v>
      </c>
      <c r="N20" s="34">
        <v>564.55999999999995</v>
      </c>
      <c r="O20" s="34">
        <v>1169.1466666666699</v>
      </c>
      <c r="P20" s="34">
        <v>1232.5999999999999</v>
      </c>
      <c r="Q20" s="34">
        <v>0</v>
      </c>
      <c r="R20" s="34">
        <v>0</v>
      </c>
      <c r="S20" s="34">
        <v>0</v>
      </c>
      <c r="T20" s="34">
        <v>0</v>
      </c>
    </row>
    <row r="21" spans="1:20" ht="25.5" x14ac:dyDescent="0.2">
      <c r="A21" s="19">
        <v>18</v>
      </c>
      <c r="B21" s="37" t="s">
        <v>899</v>
      </c>
      <c r="C21" s="60" t="s">
        <v>553</v>
      </c>
      <c r="D21" s="37" t="s">
        <v>424</v>
      </c>
      <c r="E21" s="38">
        <v>57807538</v>
      </c>
      <c r="F21" s="39">
        <v>57807610</v>
      </c>
      <c r="G21" s="40" t="str">
        <f>HYPERLINK("http://genome.ucsc.edu/cgi-bin/hgTracks?position=chr15:57807388-57807760", "Go2UCSC")</f>
        <v>Go2UCSC</v>
      </c>
      <c r="H21" s="34">
        <v>909.88999999999987</v>
      </c>
      <c r="I21" s="34">
        <v>0</v>
      </c>
      <c r="J21" s="35">
        <v>909.88999999999987</v>
      </c>
      <c r="K21" s="36">
        <v>1</v>
      </c>
      <c r="L21" s="35">
        <v>243.93833780160853</v>
      </c>
      <c r="M21" s="34">
        <v>896.41333333333296</v>
      </c>
      <c r="N21" s="34">
        <v>553.74666666666701</v>
      </c>
      <c r="O21" s="34">
        <v>1036.9466666666699</v>
      </c>
      <c r="P21" s="34">
        <v>1152.45333333333</v>
      </c>
      <c r="Q21" s="34">
        <v>0</v>
      </c>
      <c r="R21" s="34">
        <v>0</v>
      </c>
      <c r="S21" s="34">
        <v>0</v>
      </c>
      <c r="T21" s="34">
        <v>0</v>
      </c>
    </row>
    <row r="22" spans="1:20" ht="25.5" x14ac:dyDescent="0.2">
      <c r="A22" s="19">
        <v>19</v>
      </c>
      <c r="B22" s="37" t="s">
        <v>29</v>
      </c>
      <c r="C22" s="60" t="s">
        <v>554</v>
      </c>
      <c r="D22" s="37" t="s">
        <v>30</v>
      </c>
      <c r="E22" s="38">
        <v>172964073</v>
      </c>
      <c r="F22" s="39">
        <v>172964146</v>
      </c>
      <c r="G22" s="40" t="str">
        <f>HYPERLINK("http://genome.ucsc.edu/cgi-bin/hgTracks?position=chr1:172963923-172964296", "Go2UCSC")</f>
        <v>Go2UCSC</v>
      </c>
      <c r="H22" s="34">
        <v>907.69333333333248</v>
      </c>
      <c r="I22" s="34">
        <v>4.25</v>
      </c>
      <c r="J22" s="35">
        <v>911.94333333333248</v>
      </c>
      <c r="K22" s="36">
        <v>0.99533962271047538</v>
      </c>
      <c r="L22" s="35">
        <v>243.83511586452738</v>
      </c>
      <c r="M22" s="34">
        <v>827.86666666666702</v>
      </c>
      <c r="N22" s="34">
        <v>487.41333333333301</v>
      </c>
      <c r="O22" s="34">
        <v>1109.6400000000001</v>
      </c>
      <c r="P22" s="34">
        <v>1205.8533333333301</v>
      </c>
      <c r="Q22" s="34">
        <v>5</v>
      </c>
      <c r="R22" s="34">
        <v>3.5</v>
      </c>
      <c r="S22" s="34">
        <v>4</v>
      </c>
      <c r="T22" s="34">
        <v>4.5</v>
      </c>
    </row>
    <row r="23" spans="1:20" ht="25.5" x14ac:dyDescent="0.2">
      <c r="A23" s="19">
        <v>20</v>
      </c>
      <c r="B23" s="41" t="s">
        <v>413</v>
      </c>
      <c r="C23" s="61" t="s">
        <v>555</v>
      </c>
      <c r="D23" s="37" t="s">
        <v>414</v>
      </c>
      <c r="E23" s="38">
        <v>21802863</v>
      </c>
      <c r="F23" s="39">
        <v>21802934</v>
      </c>
      <c r="G23" s="40" t="str">
        <f>HYPERLINK("http://genome.ucsc.edu/cgi-bin/hgTracks?position=chr13:21802713-21803084", "Go2UCSC")</f>
        <v>Go2UCSC</v>
      </c>
      <c r="H23" s="34">
        <v>902.07666666666751</v>
      </c>
      <c r="I23" s="34">
        <v>1.25</v>
      </c>
      <c r="J23" s="35">
        <v>903.32666666666751</v>
      </c>
      <c r="K23" s="36">
        <v>0.99861622595000699</v>
      </c>
      <c r="L23" s="35">
        <v>242.82974910394287</v>
      </c>
      <c r="M23" s="34">
        <v>815.56</v>
      </c>
      <c r="N23" s="34">
        <v>579.72</v>
      </c>
      <c r="O23" s="34">
        <v>1004.22666666667</v>
      </c>
      <c r="P23" s="34">
        <v>1208.8</v>
      </c>
      <c r="Q23" s="34">
        <v>1</v>
      </c>
      <c r="R23" s="34">
        <v>1</v>
      </c>
      <c r="S23" s="34">
        <v>2</v>
      </c>
      <c r="T23" s="34">
        <v>1</v>
      </c>
    </row>
    <row r="24" spans="1:20" ht="25.5" x14ac:dyDescent="0.2">
      <c r="A24" s="19">
        <v>21</v>
      </c>
      <c r="B24" s="37" t="s">
        <v>10</v>
      </c>
      <c r="C24" s="60" t="s">
        <v>556</v>
      </c>
      <c r="D24" s="37" t="s">
        <v>87</v>
      </c>
      <c r="E24" s="38">
        <v>31190456</v>
      </c>
      <c r="F24" s="39">
        <v>31190544</v>
      </c>
      <c r="G24" s="40" t="str">
        <f>HYPERLINK("http://genome.ucsc.edu/cgi-bin/hgTracks?position=chr5:31190306-31190694", "Go2UCSC")</f>
        <v>Go2UCSC</v>
      </c>
      <c r="H24" s="34">
        <v>939.27</v>
      </c>
      <c r="I24" s="34">
        <v>0</v>
      </c>
      <c r="J24" s="35">
        <v>939.27</v>
      </c>
      <c r="K24" s="36">
        <v>1</v>
      </c>
      <c r="L24" s="35">
        <v>241.45758354755785</v>
      </c>
      <c r="M24" s="34">
        <v>848.72</v>
      </c>
      <c r="N24" s="34">
        <v>581.44000000000005</v>
      </c>
      <c r="O24" s="34">
        <v>1098.9866666666701</v>
      </c>
      <c r="P24" s="34">
        <v>1227.93333333333</v>
      </c>
      <c r="Q24" s="34">
        <v>0</v>
      </c>
      <c r="R24" s="34">
        <v>0</v>
      </c>
      <c r="S24" s="34">
        <v>0</v>
      </c>
      <c r="T24" s="34">
        <v>0</v>
      </c>
    </row>
    <row r="25" spans="1:20" ht="25.5" x14ac:dyDescent="0.2">
      <c r="A25" s="19">
        <v>22</v>
      </c>
      <c r="B25" s="37" t="s">
        <v>32</v>
      </c>
      <c r="C25" s="60" t="s">
        <v>557</v>
      </c>
      <c r="D25" s="37" t="s">
        <v>88</v>
      </c>
      <c r="E25" s="38">
        <v>48667121</v>
      </c>
      <c r="F25" s="39">
        <v>48667193</v>
      </c>
      <c r="G25" s="40" t="str">
        <f>HYPERLINK("http://genome.ucsc.edu/cgi-bin/hgTracks?position=chr11:48666971-48667343", "Go2UCSC")</f>
        <v>Go2UCSC</v>
      </c>
      <c r="H25" s="34">
        <v>882.98333333333335</v>
      </c>
      <c r="I25" s="34">
        <v>0</v>
      </c>
      <c r="J25" s="35">
        <v>882.98333333333335</v>
      </c>
      <c r="K25" s="36">
        <v>1</v>
      </c>
      <c r="L25" s="35">
        <v>236.72475424486146</v>
      </c>
      <c r="M25" s="34">
        <v>724.44</v>
      </c>
      <c r="N25" s="34">
        <v>497.493333333333</v>
      </c>
      <c r="O25" s="34">
        <v>1009.9733333333299</v>
      </c>
      <c r="P25" s="34">
        <v>1300.0266666666701</v>
      </c>
      <c r="Q25" s="34">
        <v>0</v>
      </c>
      <c r="R25" s="34">
        <v>0</v>
      </c>
      <c r="S25" s="34">
        <v>0</v>
      </c>
      <c r="T25" s="34">
        <v>0</v>
      </c>
    </row>
    <row r="26" spans="1:20" ht="25.5" x14ac:dyDescent="0.2">
      <c r="A26" s="19">
        <v>23</v>
      </c>
      <c r="B26" s="37" t="s">
        <v>271</v>
      </c>
      <c r="C26" s="60" t="s">
        <v>558</v>
      </c>
      <c r="D26" s="37" t="s">
        <v>423</v>
      </c>
      <c r="E26" s="38">
        <v>90644842</v>
      </c>
      <c r="F26" s="39">
        <v>90644913</v>
      </c>
      <c r="G26" s="40" t="str">
        <f>HYPERLINK("http://genome.ucsc.edu/cgi-bin/hgTracks?position=chr10:90644692-90645063", "Go2UCSC")</f>
        <v>Go2UCSC</v>
      </c>
      <c r="H26" s="34">
        <v>874.3166666666674</v>
      </c>
      <c r="I26" s="34">
        <v>0</v>
      </c>
      <c r="J26" s="35">
        <v>874.3166666666674</v>
      </c>
      <c r="K26" s="36">
        <v>1</v>
      </c>
      <c r="L26" s="35">
        <v>235.03136200716867</v>
      </c>
      <c r="M26" s="34">
        <v>856.86666666666702</v>
      </c>
      <c r="N26" s="34">
        <v>564.85333333333301</v>
      </c>
      <c r="O26" s="34">
        <v>973.68</v>
      </c>
      <c r="P26" s="34">
        <v>1101.86666666667</v>
      </c>
      <c r="Q26" s="34">
        <v>0</v>
      </c>
      <c r="R26" s="34">
        <v>0</v>
      </c>
      <c r="S26" s="34">
        <v>0</v>
      </c>
      <c r="T26" s="34">
        <v>0</v>
      </c>
    </row>
    <row r="27" spans="1:20" ht="25.5" x14ac:dyDescent="0.2">
      <c r="A27" s="19">
        <v>24</v>
      </c>
      <c r="B27" s="37" t="s">
        <v>202</v>
      </c>
      <c r="C27" s="60" t="s">
        <v>559</v>
      </c>
      <c r="D27" s="37" t="s">
        <v>259</v>
      </c>
      <c r="E27" s="38">
        <v>36019789</v>
      </c>
      <c r="F27" s="39">
        <v>36019862</v>
      </c>
      <c r="G27" s="40" t="str">
        <f>HYPERLINK("http://genome.ucsc.edu/cgi-bin/hgTracks?position=chr7:36019639-36020012", "Go2UCSC")</f>
        <v>Go2UCSC</v>
      </c>
      <c r="H27" s="34">
        <v>847.78333333333353</v>
      </c>
      <c r="I27" s="34">
        <v>0</v>
      </c>
      <c r="J27" s="35">
        <v>847.78333333333353</v>
      </c>
      <c r="K27" s="36">
        <v>1</v>
      </c>
      <c r="L27" s="35">
        <v>226.68003565062395</v>
      </c>
      <c r="M27" s="34">
        <v>771.94666666666706</v>
      </c>
      <c r="N27" s="34">
        <v>611.14666666666699</v>
      </c>
      <c r="O27" s="34">
        <v>964.48</v>
      </c>
      <c r="P27" s="34">
        <v>1043.56</v>
      </c>
      <c r="Q27" s="34">
        <v>0</v>
      </c>
      <c r="R27" s="34">
        <v>0</v>
      </c>
      <c r="S27" s="34">
        <v>0</v>
      </c>
      <c r="T27" s="34">
        <v>0</v>
      </c>
    </row>
    <row r="28" spans="1:20" ht="25.5" x14ac:dyDescent="0.2">
      <c r="A28" s="19">
        <v>25</v>
      </c>
      <c r="B28" s="37" t="s">
        <v>263</v>
      </c>
      <c r="C28" s="60" t="s">
        <v>560</v>
      </c>
      <c r="D28" s="37" t="s">
        <v>255</v>
      </c>
      <c r="E28" s="38">
        <v>97227904</v>
      </c>
      <c r="F28" s="39">
        <v>97227986</v>
      </c>
      <c r="G28" s="40" t="str">
        <f>HYPERLINK("http://genome.ucsc.edu/cgi-bin/hgTracks?position=chr8:97227759-97228136", "Go2UCSC")</f>
        <v>Go2UCSC</v>
      </c>
      <c r="H28" s="34">
        <v>839.19333333333429</v>
      </c>
      <c r="I28" s="34">
        <v>15.927083333325001</v>
      </c>
      <c r="J28" s="35">
        <v>855.12041666665925</v>
      </c>
      <c r="K28" s="36">
        <v>0.98137445554696234</v>
      </c>
      <c r="L28" s="35">
        <v>226.22233245149718</v>
      </c>
      <c r="M28" s="34">
        <v>742.84</v>
      </c>
      <c r="N28" s="34">
        <v>541.36</v>
      </c>
      <c r="O28" s="34">
        <v>995.94666666666706</v>
      </c>
      <c r="P28" s="34">
        <v>1076.62666666667</v>
      </c>
      <c r="Q28" s="34">
        <v>12.5833333333333</v>
      </c>
      <c r="R28" s="34">
        <v>11.7916666666667</v>
      </c>
      <c r="S28" s="34">
        <v>20.458333333300001</v>
      </c>
      <c r="T28" s="34">
        <v>18.875</v>
      </c>
    </row>
    <row r="29" spans="1:20" ht="25.5" x14ac:dyDescent="0.2">
      <c r="A29" s="19">
        <v>26</v>
      </c>
      <c r="B29" s="37" t="s">
        <v>93</v>
      </c>
      <c r="C29" s="60" t="s">
        <v>561</v>
      </c>
      <c r="D29" s="37" t="s">
        <v>259</v>
      </c>
      <c r="E29" s="38">
        <v>105963925</v>
      </c>
      <c r="F29" s="39">
        <v>105963996</v>
      </c>
      <c r="G29" s="40" t="str">
        <f>HYPERLINK("http://genome.ucsc.edu/cgi-bin/hgTracks?position=chr7:105963775-105964090", "Go2UCSC")</f>
        <v>Go2UCSC</v>
      </c>
      <c r="H29" s="34">
        <v>710.87</v>
      </c>
      <c r="I29" s="34">
        <v>0</v>
      </c>
      <c r="J29" s="35">
        <v>710.87</v>
      </c>
      <c r="K29" s="36">
        <v>1</v>
      </c>
      <c r="L29" s="35">
        <v>224.95886075949366</v>
      </c>
      <c r="M29" s="34">
        <v>689.14666666666699</v>
      </c>
      <c r="N29" s="34">
        <v>490.41333333333301</v>
      </c>
      <c r="O29" s="34">
        <v>767.69333333333304</v>
      </c>
      <c r="P29" s="34">
        <v>896.22666666666703</v>
      </c>
      <c r="Q29" s="34">
        <v>0</v>
      </c>
      <c r="R29" s="34">
        <v>0</v>
      </c>
      <c r="S29" s="34">
        <v>0</v>
      </c>
      <c r="T29" s="34">
        <v>0</v>
      </c>
    </row>
    <row r="30" spans="1:20" ht="25.5" x14ac:dyDescent="0.2">
      <c r="A30" s="19">
        <v>27</v>
      </c>
      <c r="B30" s="37" t="s">
        <v>269</v>
      </c>
      <c r="C30" s="60" t="s">
        <v>562</v>
      </c>
      <c r="D30" s="37" t="s">
        <v>88</v>
      </c>
      <c r="E30" s="38">
        <v>106874180</v>
      </c>
      <c r="F30" s="39">
        <v>106874252</v>
      </c>
      <c r="G30" s="40" t="str">
        <f>HYPERLINK("http://genome.ucsc.edu/cgi-bin/hgTracks?position=chr11:106874030-106874402", "Go2UCSC")</f>
        <v>Go2UCSC</v>
      </c>
      <c r="H30" s="34">
        <v>838.5666666666657</v>
      </c>
      <c r="I30" s="34">
        <v>0</v>
      </c>
      <c r="J30" s="35">
        <v>838.5666666666657</v>
      </c>
      <c r="K30" s="36">
        <v>1</v>
      </c>
      <c r="L30" s="35">
        <v>224.81680071492377</v>
      </c>
      <c r="M30" s="34">
        <v>796.88</v>
      </c>
      <c r="N30" s="34">
        <v>547.08000000000004</v>
      </c>
      <c r="O30" s="34">
        <v>910.45333333333303</v>
      </c>
      <c r="P30" s="34">
        <v>1099.8533333333301</v>
      </c>
      <c r="Q30" s="34">
        <v>0</v>
      </c>
      <c r="R30" s="34">
        <v>0</v>
      </c>
      <c r="S30" s="34">
        <v>0</v>
      </c>
      <c r="T30" s="34">
        <v>0</v>
      </c>
    </row>
    <row r="31" spans="1:20" ht="25.5" x14ac:dyDescent="0.2">
      <c r="A31" s="19">
        <v>28</v>
      </c>
      <c r="B31" s="37" t="s">
        <v>425</v>
      </c>
      <c r="C31" s="60" t="s">
        <v>563</v>
      </c>
      <c r="D31" s="37" t="s">
        <v>88</v>
      </c>
      <c r="E31" s="38">
        <v>97850237</v>
      </c>
      <c r="F31" s="39">
        <v>97850308</v>
      </c>
      <c r="G31" s="40" t="str">
        <f>HYPERLINK("http://genome.ucsc.edu/cgi-bin/hgTracks?position=chr11:97850087-97850458", "Go2UCSC")</f>
        <v>Go2UCSC</v>
      </c>
      <c r="H31" s="34">
        <v>821.41999999999825</v>
      </c>
      <c r="I31" s="34">
        <v>0</v>
      </c>
      <c r="J31" s="35">
        <v>821.41999999999825</v>
      </c>
      <c r="K31" s="36">
        <v>1</v>
      </c>
      <c r="L31" s="35">
        <v>220.81182795698876</v>
      </c>
      <c r="M31" s="34">
        <v>616.24</v>
      </c>
      <c r="N31" s="34">
        <v>440.13333333333298</v>
      </c>
      <c r="O31" s="34">
        <v>1104.69333333333</v>
      </c>
      <c r="P31" s="34">
        <v>1124.61333333333</v>
      </c>
      <c r="Q31" s="34">
        <v>0</v>
      </c>
      <c r="R31" s="34">
        <v>0</v>
      </c>
      <c r="S31" s="34">
        <v>0</v>
      </c>
      <c r="T31" s="34">
        <v>0</v>
      </c>
    </row>
    <row r="32" spans="1:20" ht="25.5" x14ac:dyDescent="0.2">
      <c r="A32" s="19">
        <v>29</v>
      </c>
      <c r="B32" s="37" t="s">
        <v>426</v>
      </c>
      <c r="C32" s="60" t="s">
        <v>564</v>
      </c>
      <c r="D32" s="37" t="s">
        <v>252</v>
      </c>
      <c r="E32" s="38">
        <v>96304932</v>
      </c>
      <c r="F32" s="39">
        <v>96305003</v>
      </c>
      <c r="G32" s="40" t="str">
        <f>HYPERLINK("http://genome.ucsc.edu/cgi-bin/hgTracks?position=chr3:96304782-96305153", "Go2UCSC")</f>
        <v>Go2UCSC</v>
      </c>
      <c r="H32" s="34">
        <v>811.85000000000082</v>
      </c>
      <c r="I32" s="34">
        <v>5.375</v>
      </c>
      <c r="J32" s="35">
        <v>817.22500000000082</v>
      </c>
      <c r="K32" s="36">
        <v>0.99342286396035362</v>
      </c>
      <c r="L32" s="35">
        <v>219.68413978494647</v>
      </c>
      <c r="M32" s="34">
        <v>636.93333333333305</v>
      </c>
      <c r="N32" s="34">
        <v>445.72</v>
      </c>
      <c r="O32" s="34">
        <v>1047.1600000000001</v>
      </c>
      <c r="P32" s="34">
        <v>1117.58666666667</v>
      </c>
      <c r="Q32" s="34">
        <v>6</v>
      </c>
      <c r="R32" s="34">
        <v>4.5</v>
      </c>
      <c r="S32" s="34">
        <v>5</v>
      </c>
      <c r="T32" s="34">
        <v>6</v>
      </c>
    </row>
    <row r="33" spans="1:20" ht="25.5" x14ac:dyDescent="0.2">
      <c r="A33" s="19">
        <v>30</v>
      </c>
      <c r="B33" s="37" t="s">
        <v>268</v>
      </c>
      <c r="C33" s="60" t="s">
        <v>565</v>
      </c>
      <c r="D33" s="37" t="s">
        <v>88</v>
      </c>
      <c r="E33" s="38">
        <v>68937743</v>
      </c>
      <c r="F33" s="39">
        <v>68937824</v>
      </c>
      <c r="G33" s="40" t="str">
        <f>HYPERLINK("http://genome.ucsc.edu/cgi-bin/hgTracks?position=chr11:68937593-68937966", "Go2UCSC")</f>
        <v>Go2UCSC</v>
      </c>
      <c r="H33" s="34">
        <v>818.38333333333276</v>
      </c>
      <c r="I33" s="34">
        <v>0</v>
      </c>
      <c r="J33" s="35">
        <v>818.38333333333276</v>
      </c>
      <c r="K33" s="36">
        <v>1</v>
      </c>
      <c r="L33" s="35">
        <v>218.81907308377879</v>
      </c>
      <c r="M33" s="34">
        <v>679.18666666666695</v>
      </c>
      <c r="N33" s="34">
        <v>473.86666666666702</v>
      </c>
      <c r="O33" s="34">
        <v>978.02666666666698</v>
      </c>
      <c r="P33" s="34">
        <v>1142.45333333333</v>
      </c>
      <c r="Q33" s="34">
        <v>0</v>
      </c>
      <c r="R33" s="34">
        <v>0</v>
      </c>
      <c r="S33" s="34">
        <v>0</v>
      </c>
      <c r="T33" s="34">
        <v>0</v>
      </c>
    </row>
    <row r="34" spans="1:20" ht="25.5" x14ac:dyDescent="0.2">
      <c r="A34" s="19">
        <v>31</v>
      </c>
      <c r="B34" s="37" t="s">
        <v>270</v>
      </c>
      <c r="C34" s="60" t="s">
        <v>566</v>
      </c>
      <c r="D34" s="37" t="s">
        <v>252</v>
      </c>
      <c r="E34" s="38">
        <v>19528355</v>
      </c>
      <c r="F34" s="39">
        <v>19528447</v>
      </c>
      <c r="G34" s="40" t="str">
        <f>HYPERLINK("http://genome.ucsc.edu/cgi-bin/hgTracks?position=chr3:19528205-19528597", "Go2UCSC")</f>
        <v>Go2UCSC</v>
      </c>
      <c r="H34" s="34">
        <v>857.12333333333424</v>
      </c>
      <c r="I34" s="34">
        <v>0</v>
      </c>
      <c r="J34" s="35">
        <v>857.12333333333424</v>
      </c>
      <c r="K34" s="36">
        <v>1</v>
      </c>
      <c r="L34" s="35">
        <v>218.09754028838023</v>
      </c>
      <c r="M34" s="34">
        <v>845.98666666666702</v>
      </c>
      <c r="N34" s="34">
        <v>542.77333333333297</v>
      </c>
      <c r="O34" s="34">
        <v>1061.1866666666699</v>
      </c>
      <c r="P34" s="34">
        <v>978.54666666666697</v>
      </c>
      <c r="Q34" s="34">
        <v>0</v>
      </c>
      <c r="R34" s="34">
        <v>0</v>
      </c>
      <c r="S34" s="34">
        <v>0</v>
      </c>
      <c r="T34" s="34">
        <v>0</v>
      </c>
    </row>
    <row r="35" spans="1:20" ht="25.5" x14ac:dyDescent="0.2">
      <c r="A35" s="19">
        <v>32</v>
      </c>
      <c r="B35" s="37" t="s">
        <v>49</v>
      </c>
      <c r="C35" s="60" t="s">
        <v>567</v>
      </c>
      <c r="D35" s="37" t="s">
        <v>88</v>
      </c>
      <c r="E35" s="38">
        <v>58115679</v>
      </c>
      <c r="F35" s="39">
        <v>58115750</v>
      </c>
      <c r="G35" s="40" t="str">
        <f>HYPERLINK("http://genome.ucsc.edu/cgi-bin/hgTracks?position=chr11:58115529-58115862", "Go2UCSC")</f>
        <v>Go2UCSC</v>
      </c>
      <c r="H35" s="34">
        <v>725.85333333333324</v>
      </c>
      <c r="I35" s="34">
        <v>1.5</v>
      </c>
      <c r="J35" s="35">
        <v>727.35333333333324</v>
      </c>
      <c r="K35" s="36">
        <v>0.997937728568417</v>
      </c>
      <c r="L35" s="35">
        <v>217.77045908183632</v>
      </c>
      <c r="M35" s="34">
        <v>736.62666666666701</v>
      </c>
      <c r="N35" s="34">
        <v>426</v>
      </c>
      <c r="O35" s="34">
        <v>802.37333333333299</v>
      </c>
      <c r="P35" s="34">
        <v>938.41333333333296</v>
      </c>
      <c r="Q35" s="34">
        <v>1</v>
      </c>
      <c r="R35" s="34">
        <v>1.5</v>
      </c>
      <c r="S35" s="34">
        <v>1.5</v>
      </c>
      <c r="T35" s="34">
        <v>2</v>
      </c>
    </row>
    <row r="36" spans="1:20" ht="25.5" x14ac:dyDescent="0.2">
      <c r="A36" s="19">
        <v>33</v>
      </c>
      <c r="B36" s="37" t="s">
        <v>205</v>
      </c>
      <c r="C36" s="60" t="s">
        <v>568</v>
      </c>
      <c r="D36" s="37" t="s">
        <v>88</v>
      </c>
      <c r="E36" s="38">
        <v>97849560</v>
      </c>
      <c r="F36" s="39">
        <v>97849631</v>
      </c>
      <c r="G36" s="40" t="str">
        <f>HYPERLINK("http://genome.ucsc.edu/cgi-bin/hgTracks?position=chr11:97849410-97849781", "Go2UCSC")</f>
        <v>Go2UCSC</v>
      </c>
      <c r="H36" s="34">
        <v>799.39000000000078</v>
      </c>
      <c r="I36" s="34">
        <v>2.875</v>
      </c>
      <c r="J36" s="35">
        <v>802.26500000000078</v>
      </c>
      <c r="K36" s="36">
        <v>0.99641639607860244</v>
      </c>
      <c r="L36" s="35">
        <v>215.66263440860234</v>
      </c>
      <c r="M36" s="34">
        <v>705.52</v>
      </c>
      <c r="N36" s="34">
        <v>443.65333333333302</v>
      </c>
      <c r="O36" s="34">
        <v>992.24</v>
      </c>
      <c r="P36" s="34">
        <v>1056.1466666666699</v>
      </c>
      <c r="Q36" s="34">
        <v>3</v>
      </c>
      <c r="R36" s="34">
        <v>1.5</v>
      </c>
      <c r="S36" s="34">
        <v>3</v>
      </c>
      <c r="T36" s="34">
        <v>4</v>
      </c>
    </row>
    <row r="37" spans="1:20" ht="25.5" x14ac:dyDescent="0.2">
      <c r="A37" s="19">
        <v>34</v>
      </c>
      <c r="B37" s="37" t="s">
        <v>203</v>
      </c>
      <c r="C37" s="60" t="s">
        <v>569</v>
      </c>
      <c r="D37" s="37" t="s">
        <v>204</v>
      </c>
      <c r="E37" s="38">
        <v>26012033</v>
      </c>
      <c r="F37" s="39">
        <v>26012103</v>
      </c>
      <c r="G37" s="40" t="str">
        <f>HYPERLINK("http://genome.ucsc.edu/cgi-bin/hgTracks?position=chr17:26011883-26012253", "Go2UCSC")</f>
        <v>Go2UCSC</v>
      </c>
      <c r="H37" s="34">
        <v>783.57</v>
      </c>
      <c r="I37" s="34">
        <v>11.496666666666668</v>
      </c>
      <c r="J37" s="35">
        <v>795.06666666666672</v>
      </c>
      <c r="K37" s="36">
        <v>0.98553999664598357</v>
      </c>
      <c r="L37" s="35">
        <v>214.30368373764603</v>
      </c>
      <c r="M37" s="34">
        <v>768.506666666667</v>
      </c>
      <c r="N37" s="34">
        <v>540</v>
      </c>
      <c r="O37" s="34">
        <v>897.36</v>
      </c>
      <c r="P37" s="34">
        <v>928.41333333333296</v>
      </c>
      <c r="Q37" s="34">
        <v>12.5</v>
      </c>
      <c r="R37" s="34">
        <v>8.4866666666666699</v>
      </c>
      <c r="S37" s="34">
        <v>12</v>
      </c>
      <c r="T37" s="34">
        <v>13</v>
      </c>
    </row>
    <row r="38" spans="1:20" ht="25.5" x14ac:dyDescent="0.2">
      <c r="A38" s="19">
        <v>35</v>
      </c>
      <c r="B38" s="37" t="s">
        <v>267</v>
      </c>
      <c r="C38" s="60" t="s">
        <v>570</v>
      </c>
      <c r="D38" s="37" t="s">
        <v>87</v>
      </c>
      <c r="E38" s="38">
        <v>150040577</v>
      </c>
      <c r="F38" s="39">
        <v>150040650</v>
      </c>
      <c r="G38" s="40" t="str">
        <f>HYPERLINK("http://genome.ucsc.edu/cgi-bin/hgTracks?position=chr5:150040427-150040800", "Go2UCSC")</f>
        <v>Go2UCSC</v>
      </c>
      <c r="H38" s="34">
        <v>789.57666666666751</v>
      </c>
      <c r="I38" s="34">
        <v>3.125</v>
      </c>
      <c r="J38" s="35">
        <v>792.70166666666751</v>
      </c>
      <c r="K38" s="36">
        <v>0.99605778550568624</v>
      </c>
      <c r="L38" s="35">
        <v>211.9523172905528</v>
      </c>
      <c r="M38" s="34">
        <v>711.33333333333303</v>
      </c>
      <c r="N38" s="34">
        <v>583.36</v>
      </c>
      <c r="O38" s="34">
        <v>1000.62666666667</v>
      </c>
      <c r="P38" s="34">
        <v>862.98666666666702</v>
      </c>
      <c r="Q38" s="34">
        <v>3</v>
      </c>
      <c r="R38" s="34">
        <v>2.5</v>
      </c>
      <c r="S38" s="34">
        <v>3</v>
      </c>
      <c r="T38" s="34">
        <v>4</v>
      </c>
    </row>
    <row r="39" spans="1:20" ht="25.5" x14ac:dyDescent="0.2">
      <c r="A39" s="19">
        <v>36</v>
      </c>
      <c r="B39" s="41" t="s">
        <v>265</v>
      </c>
      <c r="C39" s="61" t="s">
        <v>571</v>
      </c>
      <c r="D39" s="37" t="s">
        <v>252</v>
      </c>
      <c r="E39" s="38">
        <v>90279782</v>
      </c>
      <c r="F39" s="39">
        <v>90279853</v>
      </c>
      <c r="G39" s="40" t="str">
        <f>HYPERLINK("http://genome.ucsc.edu/cgi-bin/hgTracks?position=chr3:90279632-90280003", "Go2UCSC")</f>
        <v>Go2UCSC</v>
      </c>
      <c r="H39" s="34">
        <v>780.40999999999963</v>
      </c>
      <c r="I39" s="34">
        <v>3.875</v>
      </c>
      <c r="J39" s="35">
        <v>784.28499999999963</v>
      </c>
      <c r="K39" s="36">
        <v>0.99505919404298182</v>
      </c>
      <c r="L39" s="35">
        <v>210.82930107526869</v>
      </c>
      <c r="M39" s="34">
        <v>803.01333333333298</v>
      </c>
      <c r="N39" s="34">
        <v>536.88</v>
      </c>
      <c r="O39" s="34">
        <v>892.13333333333298</v>
      </c>
      <c r="P39" s="34">
        <v>889.613333333333</v>
      </c>
      <c r="Q39" s="34">
        <v>4</v>
      </c>
      <c r="R39" s="34">
        <v>4</v>
      </c>
      <c r="S39" s="34">
        <v>4</v>
      </c>
      <c r="T39" s="34">
        <v>3.5</v>
      </c>
    </row>
    <row r="40" spans="1:20" ht="25.5" x14ac:dyDescent="0.2">
      <c r="A40" s="19">
        <v>37</v>
      </c>
      <c r="B40" s="37" t="s">
        <v>341</v>
      </c>
      <c r="C40" s="60" t="s">
        <v>365</v>
      </c>
      <c r="D40" s="37" t="s">
        <v>423</v>
      </c>
      <c r="E40" s="38">
        <v>79711709</v>
      </c>
      <c r="F40" s="39">
        <v>79711781</v>
      </c>
      <c r="G40" s="40" t="str">
        <f>HYPERLINK("http://genome.ucsc.edu/cgi-bin/hgTracks?position=chr10:79711559-79711842", "Go2UCSC")</f>
        <v>Go2UCSC</v>
      </c>
      <c r="H40" s="34">
        <v>594.84999999999991</v>
      </c>
      <c r="I40" s="34">
        <v>0</v>
      </c>
      <c r="J40" s="35">
        <v>594.84999999999991</v>
      </c>
      <c r="K40" s="36">
        <v>1</v>
      </c>
      <c r="L40" s="35">
        <v>209.45422535211264</v>
      </c>
      <c r="M40" s="34">
        <v>583.14666666666699</v>
      </c>
      <c r="N40" s="34">
        <v>443.13333333333298</v>
      </c>
      <c r="O40" s="34">
        <v>630.98666666666702</v>
      </c>
      <c r="P40" s="34">
        <v>722.13333333333298</v>
      </c>
      <c r="Q40" s="34">
        <v>0</v>
      </c>
      <c r="R40" s="34">
        <v>0</v>
      </c>
      <c r="S40" s="34">
        <v>0</v>
      </c>
      <c r="T40" s="34">
        <v>0</v>
      </c>
    </row>
    <row r="41" spans="1:20" ht="25.5" x14ac:dyDescent="0.2">
      <c r="A41" s="19">
        <v>38</v>
      </c>
      <c r="B41" s="37" t="s">
        <v>52</v>
      </c>
      <c r="C41" s="60" t="s">
        <v>366</v>
      </c>
      <c r="D41" s="37" t="s">
        <v>88</v>
      </c>
      <c r="E41" s="38">
        <v>48670139</v>
      </c>
      <c r="F41" s="39">
        <v>48670211</v>
      </c>
      <c r="G41" s="40" t="str">
        <f>HYPERLINK("http://genome.ucsc.edu/cgi-bin/hgTracks?position=chr11:48669996-48670343", "Go2UCSC")</f>
        <v>Go2UCSC</v>
      </c>
      <c r="H41" s="34">
        <v>723.88333333333321</v>
      </c>
      <c r="I41" s="34">
        <v>0</v>
      </c>
      <c r="J41" s="35">
        <v>723.88333333333321</v>
      </c>
      <c r="K41" s="36">
        <v>1</v>
      </c>
      <c r="L41" s="35">
        <v>208.01245210727964</v>
      </c>
      <c r="M41" s="34">
        <v>598.17333333333295</v>
      </c>
      <c r="N41" s="34">
        <v>436.88</v>
      </c>
      <c r="O41" s="34">
        <v>844.6</v>
      </c>
      <c r="P41" s="34">
        <v>1015.88</v>
      </c>
      <c r="Q41" s="34">
        <v>0</v>
      </c>
      <c r="R41" s="34">
        <v>0</v>
      </c>
      <c r="S41" s="34">
        <v>0</v>
      </c>
      <c r="T41" s="34">
        <v>0</v>
      </c>
    </row>
    <row r="42" spans="1:20" ht="25.5" x14ac:dyDescent="0.2">
      <c r="A42" s="19">
        <v>39</v>
      </c>
      <c r="B42" s="37" t="s">
        <v>427</v>
      </c>
      <c r="C42" s="60" t="s">
        <v>367</v>
      </c>
      <c r="D42" s="37" t="s">
        <v>92</v>
      </c>
      <c r="E42" s="38">
        <v>13437416</v>
      </c>
      <c r="F42" s="39">
        <v>13437487</v>
      </c>
      <c r="G42" s="40" t="str">
        <f>HYPERLINK("http://genome.ucsc.edu/cgi-bin/hgTracks?position=chr16:13437266-13437637", "Go2UCSC")</f>
        <v>Go2UCSC</v>
      </c>
      <c r="H42" s="34">
        <v>754.23999999999978</v>
      </c>
      <c r="I42" s="34">
        <v>0</v>
      </c>
      <c r="J42" s="35">
        <v>754.23999999999978</v>
      </c>
      <c r="K42" s="36">
        <v>1</v>
      </c>
      <c r="L42" s="35">
        <v>202.75268817204292</v>
      </c>
      <c r="M42" s="34">
        <v>753.72</v>
      </c>
      <c r="N42" s="34">
        <v>591.69333333333304</v>
      </c>
      <c r="O42" s="34">
        <v>901.09333333333302</v>
      </c>
      <c r="P42" s="34">
        <v>770.45333333333303</v>
      </c>
      <c r="Q42" s="34">
        <v>0</v>
      </c>
      <c r="R42" s="34">
        <v>0</v>
      </c>
      <c r="S42" s="34">
        <v>0</v>
      </c>
      <c r="T42" s="34">
        <v>0</v>
      </c>
    </row>
    <row r="43" spans="1:20" ht="25.5" x14ac:dyDescent="0.2">
      <c r="A43" s="19">
        <v>40</v>
      </c>
      <c r="B43" s="37" t="s">
        <v>209</v>
      </c>
      <c r="C43" s="60" t="s">
        <v>368</v>
      </c>
      <c r="D43" s="37" t="s">
        <v>261</v>
      </c>
      <c r="E43" s="38">
        <v>76552581</v>
      </c>
      <c r="F43" s="39">
        <v>76552652</v>
      </c>
      <c r="G43" s="40" t="str">
        <f>HYPERLINK("http://genome.ucsc.edu/cgi-bin/hgTracks?position=chr14:76552431-76552802", "Go2UCSC")</f>
        <v>Go2UCSC</v>
      </c>
      <c r="H43" s="34">
        <v>752.7266666666668</v>
      </c>
      <c r="I43" s="34">
        <v>0</v>
      </c>
      <c r="J43" s="35">
        <v>752.7266666666668</v>
      </c>
      <c r="K43" s="36">
        <v>1</v>
      </c>
      <c r="L43" s="35">
        <v>202.34587813620078</v>
      </c>
      <c r="M43" s="34">
        <v>792.506666666667</v>
      </c>
      <c r="N43" s="34">
        <v>547.69333333333304</v>
      </c>
      <c r="O43" s="34">
        <v>817.08</v>
      </c>
      <c r="P43" s="34">
        <v>853.62666666666701</v>
      </c>
      <c r="Q43" s="34">
        <v>0</v>
      </c>
      <c r="R43" s="34">
        <v>0</v>
      </c>
      <c r="S43" s="34">
        <v>0</v>
      </c>
      <c r="T43" s="34">
        <v>0</v>
      </c>
    </row>
    <row r="44" spans="1:20" ht="25.5" x14ac:dyDescent="0.2">
      <c r="A44" s="19">
        <v>41</v>
      </c>
      <c r="B44" s="37" t="s">
        <v>28</v>
      </c>
      <c r="C44" s="60" t="s">
        <v>369</v>
      </c>
      <c r="D44" s="37" t="s">
        <v>88</v>
      </c>
      <c r="E44" s="38">
        <v>115274295</v>
      </c>
      <c r="F44" s="39">
        <v>115274367</v>
      </c>
      <c r="G44" s="40" t="str">
        <f>HYPERLINK("http://genome.ucsc.edu/cgi-bin/hgTracks?position=chr11:115274145-115274492", "Go2UCSC")</f>
        <v>Go2UCSC</v>
      </c>
      <c r="H44" s="34">
        <v>703.15666666666652</v>
      </c>
      <c r="I44" s="34">
        <v>0</v>
      </c>
      <c r="J44" s="35">
        <v>703.15666666666652</v>
      </c>
      <c r="K44" s="36">
        <v>1</v>
      </c>
      <c r="L44" s="35">
        <v>202.05651340996167</v>
      </c>
      <c r="M44" s="34">
        <v>659.33333333333303</v>
      </c>
      <c r="N44" s="34">
        <v>516.77333333333297</v>
      </c>
      <c r="O44" s="34">
        <v>798.506666666667</v>
      </c>
      <c r="P44" s="34">
        <v>838.01333333333298</v>
      </c>
      <c r="Q44" s="34">
        <v>0</v>
      </c>
      <c r="R44" s="34">
        <v>0</v>
      </c>
      <c r="S44" s="34">
        <v>0</v>
      </c>
      <c r="T44" s="34">
        <v>0</v>
      </c>
    </row>
    <row r="45" spans="1:20" ht="25.5" x14ac:dyDescent="0.2">
      <c r="A45" s="19">
        <v>42</v>
      </c>
      <c r="B45" s="37" t="s">
        <v>264</v>
      </c>
      <c r="C45" s="60" t="s">
        <v>370</v>
      </c>
      <c r="D45" s="37" t="s">
        <v>414</v>
      </c>
      <c r="E45" s="38">
        <v>21292073</v>
      </c>
      <c r="F45" s="39">
        <v>21292177</v>
      </c>
      <c r="G45" s="40" t="str">
        <f>HYPERLINK("http://genome.ucsc.edu/cgi-bin/hgTracks?position=chr13:21291923-21292327", "Go2UCSC")</f>
        <v>Go2UCSC</v>
      </c>
      <c r="H45" s="34">
        <v>815.24000000000092</v>
      </c>
      <c r="I45" s="34">
        <v>0</v>
      </c>
      <c r="J45" s="35">
        <v>815.24000000000092</v>
      </c>
      <c r="K45" s="36">
        <v>1</v>
      </c>
      <c r="L45" s="35">
        <v>201.29382716049403</v>
      </c>
      <c r="M45" s="34">
        <v>712.28</v>
      </c>
      <c r="N45" s="34">
        <v>527.88</v>
      </c>
      <c r="O45" s="34">
        <v>989.81333333333305</v>
      </c>
      <c r="P45" s="34">
        <v>1030.9866666666701</v>
      </c>
      <c r="Q45" s="34">
        <v>0</v>
      </c>
      <c r="R45" s="34">
        <v>0</v>
      </c>
      <c r="S45" s="34">
        <v>0</v>
      </c>
      <c r="T45" s="34">
        <v>0</v>
      </c>
    </row>
    <row r="46" spans="1:20" ht="25.5" x14ac:dyDescent="0.2">
      <c r="A46" s="20">
        <v>43</v>
      </c>
      <c r="B46" s="37" t="s">
        <v>31</v>
      </c>
      <c r="C46" s="60" t="s">
        <v>371</v>
      </c>
      <c r="D46" s="37" t="s">
        <v>87</v>
      </c>
      <c r="E46" s="38">
        <v>125889386</v>
      </c>
      <c r="F46" s="39">
        <v>125889457</v>
      </c>
      <c r="G46" s="40" t="str">
        <f>HYPERLINK("http://genome.ucsc.edu/cgi-bin/hgTracks?position=chr5:125889236-125889607", "Go2UCSC")</f>
        <v>Go2UCSC</v>
      </c>
      <c r="H46" s="34">
        <v>745.82666666666682</v>
      </c>
      <c r="I46" s="34">
        <v>2.9166666666500003</v>
      </c>
      <c r="J46" s="35">
        <v>748.74333333331685</v>
      </c>
      <c r="K46" s="36">
        <v>0.99610458412542335</v>
      </c>
      <c r="L46" s="35">
        <v>201.27508960573033</v>
      </c>
      <c r="M46" s="34">
        <v>642.54666666666697</v>
      </c>
      <c r="N46" s="34">
        <v>448.32</v>
      </c>
      <c r="O46" s="34">
        <v>931.74666666666701</v>
      </c>
      <c r="P46" s="34">
        <v>960.69333333333304</v>
      </c>
      <c r="Q46" s="34">
        <v>3</v>
      </c>
      <c r="R46" s="34">
        <v>2</v>
      </c>
      <c r="S46" s="34">
        <v>3.3333333333000001</v>
      </c>
      <c r="T46" s="34">
        <v>3.3333333333000001</v>
      </c>
    </row>
    <row r="47" spans="1:20" ht="25.5" x14ac:dyDescent="0.2">
      <c r="A47" s="19">
        <v>44</v>
      </c>
      <c r="B47" s="37" t="s">
        <v>94</v>
      </c>
      <c r="C47" s="60" t="s">
        <v>372</v>
      </c>
      <c r="D47" s="37" t="s">
        <v>88</v>
      </c>
      <c r="E47" s="38">
        <v>48647931</v>
      </c>
      <c r="F47" s="39">
        <v>48648002</v>
      </c>
      <c r="G47" s="40" t="str">
        <f>HYPERLINK("http://genome.ucsc.edu/cgi-bin/hgTracks?position=chr11:48647781-48648152", "Go2UCSC")</f>
        <v>Go2UCSC</v>
      </c>
      <c r="H47" s="34">
        <v>747.51333333333355</v>
      </c>
      <c r="I47" s="34">
        <v>4.4925825191558418E-3</v>
      </c>
      <c r="J47" s="35">
        <v>747.51782591585265</v>
      </c>
      <c r="K47" s="36">
        <v>0.99999398999948452</v>
      </c>
      <c r="L47" s="35">
        <v>200.94565212791736</v>
      </c>
      <c r="M47" s="34">
        <v>681.90666666666698</v>
      </c>
      <c r="N47" s="34">
        <v>483.36</v>
      </c>
      <c r="O47" s="34">
        <v>905.82666666666705</v>
      </c>
      <c r="P47" s="34">
        <v>918.96</v>
      </c>
      <c r="Q47" s="34">
        <v>7.7615346639712994E-3</v>
      </c>
      <c r="R47" s="34">
        <v>1.26520681265207E-3</v>
      </c>
      <c r="S47" s="34">
        <v>0</v>
      </c>
      <c r="T47" s="34">
        <v>8.9435885999999999E-3</v>
      </c>
    </row>
    <row r="48" spans="1:20" ht="25.5" x14ac:dyDescent="0.2">
      <c r="A48" s="19">
        <v>45</v>
      </c>
      <c r="B48" s="37" t="s">
        <v>98</v>
      </c>
      <c r="C48" s="60" t="s">
        <v>373</v>
      </c>
      <c r="D48" s="37" t="s">
        <v>30</v>
      </c>
      <c r="E48" s="38">
        <v>173031969</v>
      </c>
      <c r="F48" s="39">
        <v>173032051</v>
      </c>
      <c r="G48" s="40" t="str">
        <f>HYPERLINK("http://genome.ucsc.edu/cgi-bin/hgTracks?position=chr1:173031819-173032201", "Go2UCSC")</f>
        <v>Go2UCSC</v>
      </c>
      <c r="H48" s="34">
        <v>753.42666666666742</v>
      </c>
      <c r="I48" s="34">
        <v>16.018750000000001</v>
      </c>
      <c r="J48" s="35">
        <v>769.44541666666737</v>
      </c>
      <c r="K48" s="36">
        <v>0.97918143424728532</v>
      </c>
      <c r="L48" s="35">
        <v>200.89958659704112</v>
      </c>
      <c r="M48" s="34">
        <v>595.06666666666695</v>
      </c>
      <c r="N48" s="34">
        <v>444.65333333333302</v>
      </c>
      <c r="O48" s="34">
        <v>971.04</v>
      </c>
      <c r="P48" s="34">
        <v>1002.94666666667</v>
      </c>
      <c r="Q48" s="34">
        <v>13.85</v>
      </c>
      <c r="R48" s="34">
        <v>12.725</v>
      </c>
      <c r="S48" s="34">
        <v>18.925000000000001</v>
      </c>
      <c r="T48" s="34">
        <v>18.574999999999999</v>
      </c>
    </row>
    <row r="49" spans="1:142" ht="25.5" x14ac:dyDescent="0.2">
      <c r="A49" s="19">
        <v>46</v>
      </c>
      <c r="B49" s="41" t="s">
        <v>101</v>
      </c>
      <c r="C49" s="61" t="s">
        <v>374</v>
      </c>
      <c r="D49" s="37" t="s">
        <v>414</v>
      </c>
      <c r="E49" s="38">
        <v>22066901</v>
      </c>
      <c r="F49" s="39">
        <v>22066972</v>
      </c>
      <c r="G49" s="40" t="str">
        <f>HYPERLINK("http://genome.ucsc.edu/cgi-bin/hgTracks?position=chr13:22066751-22067122", "Go2UCSC")</f>
        <v>Go2UCSC</v>
      </c>
      <c r="H49" s="34">
        <v>743.95333333333247</v>
      </c>
      <c r="I49" s="34">
        <v>1.25</v>
      </c>
      <c r="J49" s="35">
        <v>745.20333333333247</v>
      </c>
      <c r="K49" s="36">
        <v>0.9983226054633858</v>
      </c>
      <c r="L49" s="35">
        <v>200.32347670250871</v>
      </c>
      <c r="M49" s="34">
        <v>591.34666666666703</v>
      </c>
      <c r="N49" s="34">
        <v>425.25333333333299</v>
      </c>
      <c r="O49" s="34">
        <v>910.92</v>
      </c>
      <c r="P49" s="34">
        <v>1048.2933333333301</v>
      </c>
      <c r="Q49" s="34">
        <v>1</v>
      </c>
      <c r="R49" s="34">
        <v>1</v>
      </c>
      <c r="S49" s="34">
        <v>2</v>
      </c>
      <c r="T49" s="34">
        <v>1</v>
      </c>
    </row>
    <row r="50" spans="1:142" ht="25.5" x14ac:dyDescent="0.2">
      <c r="A50" s="20">
        <v>47</v>
      </c>
      <c r="B50" s="37" t="s">
        <v>50</v>
      </c>
      <c r="C50" s="60" t="s">
        <v>375</v>
      </c>
      <c r="D50" s="37" t="s">
        <v>259</v>
      </c>
      <c r="E50" s="38">
        <v>127978993</v>
      </c>
      <c r="F50" s="39">
        <v>127979074</v>
      </c>
      <c r="G50" s="40" t="str">
        <f>HYPERLINK("http://genome.ucsc.edu/cgi-bin/hgTracks?position=chr7:127978843-127979224", "Go2UCSC")</f>
        <v>Go2UCSC</v>
      </c>
      <c r="H50" s="34">
        <v>750.11666666666656</v>
      </c>
      <c r="I50" s="34">
        <v>0</v>
      </c>
      <c r="J50" s="35">
        <v>750.11666666666656</v>
      </c>
      <c r="K50" s="36">
        <v>1</v>
      </c>
      <c r="L50" s="35">
        <v>196.36561954624779</v>
      </c>
      <c r="M50" s="34">
        <v>785.69333333333304</v>
      </c>
      <c r="N50" s="34">
        <v>487.52</v>
      </c>
      <c r="O50" s="34">
        <v>831.4</v>
      </c>
      <c r="P50" s="34">
        <v>895.85333333333301</v>
      </c>
      <c r="Q50" s="34">
        <v>0</v>
      </c>
      <c r="R50" s="34">
        <v>0</v>
      </c>
      <c r="S50" s="34">
        <v>0</v>
      </c>
      <c r="T50" s="34">
        <v>0</v>
      </c>
    </row>
    <row r="51" spans="1:142" ht="25.5" x14ac:dyDescent="0.2">
      <c r="A51" s="19">
        <v>48</v>
      </c>
      <c r="B51" s="37" t="s">
        <v>53</v>
      </c>
      <c r="C51" s="60" t="s">
        <v>376</v>
      </c>
      <c r="D51" s="37" t="s">
        <v>54</v>
      </c>
      <c r="E51" s="38">
        <v>12086421</v>
      </c>
      <c r="F51" s="39">
        <v>12086493</v>
      </c>
      <c r="G51" s="40" t="str">
        <f>HYPERLINK("http://genome.ucsc.edu/cgi-bin/hgTracks?position=chr19:12086292-12086624", "Go2UCSC")</f>
        <v>Go2UCSC</v>
      </c>
      <c r="H51" s="34">
        <v>641.97999999999979</v>
      </c>
      <c r="I51" s="34">
        <v>0</v>
      </c>
      <c r="J51" s="35">
        <v>641.97999999999979</v>
      </c>
      <c r="K51" s="36">
        <v>1</v>
      </c>
      <c r="L51" s="35">
        <v>192.78678678678673</v>
      </c>
      <c r="M51" s="34">
        <v>713.89333333333298</v>
      </c>
      <c r="N51" s="34">
        <v>446.44</v>
      </c>
      <c r="O51" s="34">
        <v>745.493333333333</v>
      </c>
      <c r="P51" s="34">
        <v>662.09333333333302</v>
      </c>
      <c r="Q51" s="34">
        <v>0</v>
      </c>
      <c r="R51" s="34">
        <v>0</v>
      </c>
      <c r="S51" s="34">
        <v>0</v>
      </c>
      <c r="T51" s="34">
        <v>0</v>
      </c>
    </row>
    <row r="52" spans="1:142" ht="25.5" x14ac:dyDescent="0.2">
      <c r="A52" s="19">
        <v>49</v>
      </c>
      <c r="B52" s="37" t="s">
        <v>208</v>
      </c>
      <c r="C52" s="60" t="s">
        <v>377</v>
      </c>
      <c r="D52" s="37" t="s">
        <v>88</v>
      </c>
      <c r="E52" s="38">
        <v>48632044</v>
      </c>
      <c r="F52" s="39">
        <v>48632116</v>
      </c>
      <c r="G52" s="40" t="str">
        <f>HYPERLINK("http://genome.ucsc.edu/cgi-bin/hgTracks?position=chr11:48631894-48632266", "Go2UCSC")</f>
        <v>Go2UCSC</v>
      </c>
      <c r="H52" s="34">
        <v>719.0633333333335</v>
      </c>
      <c r="I52" s="34">
        <v>0</v>
      </c>
      <c r="J52" s="35">
        <v>719.0633333333335</v>
      </c>
      <c r="K52" s="36">
        <v>1</v>
      </c>
      <c r="L52" s="35">
        <v>192.77837354781056</v>
      </c>
      <c r="M52" s="34">
        <v>688.69333333333304</v>
      </c>
      <c r="N52" s="34">
        <v>438.46666666666698</v>
      </c>
      <c r="O52" s="34">
        <v>841.34666666666703</v>
      </c>
      <c r="P52" s="34">
        <v>907.74666666666701</v>
      </c>
      <c r="Q52" s="34">
        <v>0</v>
      </c>
      <c r="R52" s="34">
        <v>0</v>
      </c>
      <c r="S52" s="34">
        <v>0</v>
      </c>
      <c r="T52" s="34">
        <v>0</v>
      </c>
    </row>
    <row r="53" spans="1:142" ht="25.5" x14ac:dyDescent="0.2">
      <c r="A53" s="19">
        <v>50</v>
      </c>
      <c r="B53" s="37" t="s">
        <v>199</v>
      </c>
      <c r="C53" s="60" t="s">
        <v>378</v>
      </c>
      <c r="D53" s="37" t="s">
        <v>414</v>
      </c>
      <c r="E53" s="38">
        <v>23529978</v>
      </c>
      <c r="F53" s="39">
        <v>23530051</v>
      </c>
      <c r="G53" s="40" t="str">
        <f>HYPERLINK("http://genome.ucsc.edu/cgi-bin/hgTracks?position=chr13:23529828-23530201", "Go2UCSC")</f>
        <v>Go2UCSC</v>
      </c>
      <c r="H53" s="34">
        <v>710.84</v>
      </c>
      <c r="I53" s="34">
        <v>7.7833333333499999</v>
      </c>
      <c r="J53" s="35">
        <v>718.62333333335005</v>
      </c>
      <c r="K53" s="36">
        <v>0.98916910574382988</v>
      </c>
      <c r="L53" s="35">
        <v>192.14527629233959</v>
      </c>
      <c r="M53" s="34">
        <v>662.6</v>
      </c>
      <c r="N53" s="34">
        <v>385.493333333333</v>
      </c>
      <c r="O53" s="34">
        <v>836.6</v>
      </c>
      <c r="P53" s="34">
        <v>958.66666666666697</v>
      </c>
      <c r="Q53" s="34">
        <v>8.5833333333333393</v>
      </c>
      <c r="R53" s="34">
        <v>5.3416666666666597</v>
      </c>
      <c r="S53" s="34">
        <v>7.7916666667000003</v>
      </c>
      <c r="T53" s="34">
        <v>9.4166666666999994</v>
      </c>
    </row>
    <row r="54" spans="1:142" ht="25.5" x14ac:dyDescent="0.2">
      <c r="A54" s="19">
        <v>51</v>
      </c>
      <c r="B54" s="37" t="s">
        <v>266</v>
      </c>
      <c r="C54" s="60" t="s">
        <v>379</v>
      </c>
      <c r="D54" s="37" t="s">
        <v>88</v>
      </c>
      <c r="E54" s="38">
        <v>68854486</v>
      </c>
      <c r="F54" s="39">
        <v>68854557</v>
      </c>
      <c r="G54" s="40" t="str">
        <f>HYPERLINK("http://genome.ucsc.edu/cgi-bin/hgTracks?position=chr11:68854336-68854668", "Go2UCSC")</f>
        <v>Go2UCSC</v>
      </c>
      <c r="H54" s="34">
        <v>637.52</v>
      </c>
      <c r="I54" s="34">
        <v>0.75</v>
      </c>
      <c r="J54" s="35">
        <v>638.27</v>
      </c>
      <c r="K54" s="36">
        <v>0.99882494868942606</v>
      </c>
      <c r="L54" s="35">
        <v>191.67267267267266</v>
      </c>
      <c r="M54" s="34">
        <v>566.12</v>
      </c>
      <c r="N54" s="34">
        <v>392.37333333333299</v>
      </c>
      <c r="O54" s="34">
        <v>734.22666666666703</v>
      </c>
      <c r="P54" s="34">
        <v>857.36</v>
      </c>
      <c r="Q54" s="34">
        <v>1.5</v>
      </c>
      <c r="R54" s="34">
        <v>0</v>
      </c>
      <c r="S54" s="34">
        <v>1</v>
      </c>
      <c r="T54" s="34">
        <v>0.5</v>
      </c>
    </row>
    <row r="55" spans="1:142" ht="25.5" x14ac:dyDescent="0.2">
      <c r="A55" s="19">
        <v>52</v>
      </c>
      <c r="B55" s="37" t="s">
        <v>95</v>
      </c>
      <c r="C55" s="60" t="s">
        <v>380</v>
      </c>
      <c r="D55" s="37" t="s">
        <v>30</v>
      </c>
      <c r="E55" s="38">
        <v>172975116</v>
      </c>
      <c r="F55" s="39">
        <v>172975186</v>
      </c>
      <c r="G55" s="40" t="str">
        <f>HYPERLINK("http://genome.ucsc.edu/cgi-bin/hgTracks?position=chr1:172974966-172975336", "Go2UCSC")</f>
        <v>Go2UCSC</v>
      </c>
      <c r="H55" s="34">
        <v>699.21666666666647</v>
      </c>
      <c r="I55" s="34">
        <v>0</v>
      </c>
      <c r="J55" s="35">
        <v>699.21666666666647</v>
      </c>
      <c r="K55" s="36">
        <v>1</v>
      </c>
      <c r="L55" s="35">
        <v>188.46810422282113</v>
      </c>
      <c r="M55" s="34">
        <v>558.53333333333296</v>
      </c>
      <c r="N55" s="34">
        <v>387.69333333333299</v>
      </c>
      <c r="O55" s="34">
        <v>898.64</v>
      </c>
      <c r="P55" s="34">
        <v>952</v>
      </c>
      <c r="Q55" s="34">
        <v>0</v>
      </c>
      <c r="R55" s="34">
        <v>0</v>
      </c>
      <c r="S55" s="34">
        <v>0</v>
      </c>
      <c r="T55" s="34">
        <v>0</v>
      </c>
    </row>
    <row r="56" spans="1:142" ht="25.5" x14ac:dyDescent="0.2">
      <c r="A56" s="19">
        <v>53</v>
      </c>
      <c r="B56" s="37" t="s">
        <v>198</v>
      </c>
      <c r="C56" s="60" t="s">
        <v>381</v>
      </c>
      <c r="D56" s="37" t="s">
        <v>252</v>
      </c>
      <c r="E56" s="38">
        <v>30500192</v>
      </c>
      <c r="F56" s="39">
        <v>30500264</v>
      </c>
      <c r="G56" s="40" t="str">
        <f>HYPERLINK("http://genome.ucsc.edu/cgi-bin/hgTracks?position=chr3:30500042-30500414", "Go2UCSC")</f>
        <v>Go2UCSC</v>
      </c>
      <c r="H56" s="34">
        <v>701.45333333333326</v>
      </c>
      <c r="I56" s="34">
        <v>0</v>
      </c>
      <c r="J56" s="35">
        <v>701.45333333333326</v>
      </c>
      <c r="K56" s="36">
        <v>1</v>
      </c>
      <c r="L56" s="35">
        <v>188.05719392314566</v>
      </c>
      <c r="M56" s="34">
        <v>643.04</v>
      </c>
      <c r="N56" s="34">
        <v>492.44</v>
      </c>
      <c r="O56" s="34">
        <v>747.73333333333301</v>
      </c>
      <c r="P56" s="34">
        <v>922.6</v>
      </c>
      <c r="Q56" s="34">
        <v>0</v>
      </c>
      <c r="R56" s="34">
        <v>0</v>
      </c>
      <c r="S56" s="34">
        <v>0</v>
      </c>
      <c r="T56" s="34">
        <v>0</v>
      </c>
    </row>
    <row r="57" spans="1:142" ht="25.5" x14ac:dyDescent="0.2">
      <c r="A57" s="19">
        <v>54</v>
      </c>
      <c r="B57" s="37" t="s">
        <v>99</v>
      </c>
      <c r="C57" s="60" t="s">
        <v>382</v>
      </c>
      <c r="D57" s="37" t="s">
        <v>414</v>
      </c>
      <c r="E57" s="38">
        <v>23523281</v>
      </c>
      <c r="F57" s="39">
        <v>23523353</v>
      </c>
      <c r="G57" s="40" t="str">
        <f>HYPERLINK("http://genome.ucsc.edu/cgi-bin/hgTracks?position=chr13:23523131-23523503", "Go2UCSC")</f>
        <v>Go2UCSC</v>
      </c>
      <c r="H57" s="34">
        <v>697.48333333333323</v>
      </c>
      <c r="I57" s="34">
        <v>0</v>
      </c>
      <c r="J57" s="35">
        <v>697.48333333333323</v>
      </c>
      <c r="K57" s="36">
        <v>1</v>
      </c>
      <c r="L57" s="35">
        <v>186.99285075960677</v>
      </c>
      <c r="M57" s="34">
        <v>452.77333333333303</v>
      </c>
      <c r="N57" s="34">
        <v>315.56</v>
      </c>
      <c r="O57" s="34">
        <v>996.8</v>
      </c>
      <c r="P57" s="34">
        <v>1024.8</v>
      </c>
      <c r="Q57" s="34">
        <v>0</v>
      </c>
      <c r="R57" s="34">
        <v>0</v>
      </c>
      <c r="S57" s="34">
        <v>0</v>
      </c>
      <c r="T57" s="34">
        <v>0</v>
      </c>
    </row>
    <row r="58" spans="1:142" ht="25.5" x14ac:dyDescent="0.2">
      <c r="A58" s="19">
        <v>55</v>
      </c>
      <c r="B58" s="37" t="s">
        <v>307</v>
      </c>
      <c r="C58" s="60" t="s">
        <v>383</v>
      </c>
      <c r="D58" s="37" t="s">
        <v>30</v>
      </c>
      <c r="E58" s="38">
        <v>173033174</v>
      </c>
      <c r="F58" s="39">
        <v>173033245</v>
      </c>
      <c r="G58" s="40" t="str">
        <f>HYPERLINK("http://genome.ucsc.edu/cgi-bin/hgTracks?position=chr1:173033066-173033395", "Go2UCSC")</f>
        <v>Go2UCSC</v>
      </c>
      <c r="H58" s="34">
        <v>603.38000000000034</v>
      </c>
      <c r="I58" s="34">
        <v>3.375</v>
      </c>
      <c r="J58" s="35">
        <v>606.75500000000034</v>
      </c>
      <c r="K58" s="36">
        <v>0.99443762309334083</v>
      </c>
      <c r="L58" s="35">
        <v>183.86515151515164</v>
      </c>
      <c r="M58" s="34">
        <v>532.06666666666695</v>
      </c>
      <c r="N58" s="34">
        <v>323.66666666666703</v>
      </c>
      <c r="O58" s="34">
        <v>714.02666666666698</v>
      </c>
      <c r="P58" s="34">
        <v>843.76</v>
      </c>
      <c r="Q58" s="34">
        <v>3.5</v>
      </c>
      <c r="R58" s="34">
        <v>3</v>
      </c>
      <c r="S58" s="34">
        <v>3</v>
      </c>
      <c r="T58" s="34">
        <v>4</v>
      </c>
    </row>
    <row r="59" spans="1:142" ht="25.5" x14ac:dyDescent="0.2">
      <c r="A59" s="19">
        <v>56</v>
      </c>
      <c r="B59" s="37" t="s">
        <v>100</v>
      </c>
      <c r="C59" s="60" t="s">
        <v>384</v>
      </c>
      <c r="D59" s="37" t="s">
        <v>88</v>
      </c>
      <c r="E59" s="38">
        <v>95720486</v>
      </c>
      <c r="F59" s="39">
        <v>95720557</v>
      </c>
      <c r="G59" s="40" t="str">
        <f>HYPERLINK("http://genome.ucsc.edu/cgi-bin/hgTracks?position=chr11:95720336-95720707", "Go2UCSC")</f>
        <v>Go2UCSC</v>
      </c>
      <c r="H59" s="34">
        <v>676.31333333333328</v>
      </c>
      <c r="I59" s="34">
        <v>0</v>
      </c>
      <c r="J59" s="35">
        <v>676.31333333333328</v>
      </c>
      <c r="K59" s="36">
        <v>1</v>
      </c>
      <c r="L59" s="35">
        <v>181.80465949820788</v>
      </c>
      <c r="M59" s="34">
        <v>568.04</v>
      </c>
      <c r="N59" s="34">
        <v>429.78666666666697</v>
      </c>
      <c r="O59" s="34">
        <v>878.73333333333301</v>
      </c>
      <c r="P59" s="34">
        <v>828.69333333333304</v>
      </c>
      <c r="Q59" s="34">
        <v>0</v>
      </c>
      <c r="R59" s="34">
        <v>0</v>
      </c>
      <c r="S59" s="34">
        <v>0</v>
      </c>
      <c r="T59" s="34">
        <v>0</v>
      </c>
    </row>
    <row r="60" spans="1:142" ht="25.5" x14ac:dyDescent="0.2">
      <c r="A60" s="19">
        <v>57</v>
      </c>
      <c r="B60" s="37" t="s">
        <v>523</v>
      </c>
      <c r="C60" s="60" t="s">
        <v>385</v>
      </c>
      <c r="D60" s="37" t="s">
        <v>88</v>
      </c>
      <c r="E60" s="38">
        <v>115274618</v>
      </c>
      <c r="F60" s="39">
        <v>115274690</v>
      </c>
      <c r="G60" s="40" t="str">
        <f>HYPERLINK("http://genome.ucsc.edu/cgi-bin/hgTracks?position=chr11:115274493-115274840", "Go2UCSC")</f>
        <v>Go2UCSC</v>
      </c>
      <c r="H60" s="34">
        <v>628.3933333333332</v>
      </c>
      <c r="I60" s="34">
        <v>1.375</v>
      </c>
      <c r="J60" s="35">
        <v>629.7683333333332</v>
      </c>
      <c r="K60" s="36">
        <v>0.99781665744810921</v>
      </c>
      <c r="L60" s="35">
        <v>180.96791187739461</v>
      </c>
      <c r="M60" s="34">
        <v>566.57333333333304</v>
      </c>
      <c r="N60" s="34">
        <v>345.44</v>
      </c>
      <c r="O60" s="34">
        <v>825.6</v>
      </c>
      <c r="P60" s="34">
        <v>775.96</v>
      </c>
      <c r="Q60" s="34">
        <v>0.5</v>
      </c>
      <c r="R60" s="34">
        <v>1</v>
      </c>
      <c r="S60" s="34">
        <v>2</v>
      </c>
      <c r="T60" s="34">
        <v>2</v>
      </c>
    </row>
    <row r="61" spans="1:142" ht="25.5" x14ac:dyDescent="0.2">
      <c r="A61" s="19">
        <v>58</v>
      </c>
      <c r="B61" s="37" t="s">
        <v>96</v>
      </c>
      <c r="C61" s="60" t="s">
        <v>386</v>
      </c>
      <c r="D61" s="37" t="s">
        <v>414</v>
      </c>
      <c r="E61" s="38">
        <v>23545301</v>
      </c>
      <c r="F61" s="39">
        <v>23545383</v>
      </c>
      <c r="G61" s="40" t="str">
        <f>HYPERLINK("http://genome.ucsc.edu/cgi-bin/hgTracks?position=chr13:23545151-23545533", "Go2UCSC")</f>
        <v>Go2UCSC</v>
      </c>
      <c r="H61" s="34">
        <v>676.52666666666653</v>
      </c>
      <c r="I61" s="34">
        <v>16.018750000000001</v>
      </c>
      <c r="J61" s="35">
        <v>692.54541666666648</v>
      </c>
      <c r="K61" s="36">
        <v>0.97686974801291615</v>
      </c>
      <c r="L61" s="35">
        <v>180.82125761531759</v>
      </c>
      <c r="M61" s="34">
        <v>597.91999999999996</v>
      </c>
      <c r="N61" s="34">
        <v>451.88</v>
      </c>
      <c r="O61" s="34">
        <v>788.85333333333301</v>
      </c>
      <c r="P61" s="34">
        <v>867.45333333333303</v>
      </c>
      <c r="Q61" s="34">
        <v>13.85</v>
      </c>
      <c r="R61" s="34">
        <v>12.725</v>
      </c>
      <c r="S61" s="34">
        <v>18.925000000000001</v>
      </c>
      <c r="T61" s="34">
        <v>18.574999999999999</v>
      </c>
    </row>
    <row r="62" spans="1:142" ht="25.5" x14ac:dyDescent="0.2">
      <c r="A62" s="19">
        <v>59</v>
      </c>
      <c r="B62" s="37" t="s">
        <v>210</v>
      </c>
      <c r="C62" s="60" t="s">
        <v>387</v>
      </c>
      <c r="D62" s="37" t="s">
        <v>88</v>
      </c>
      <c r="E62" s="38">
        <v>48647385</v>
      </c>
      <c r="F62" s="39">
        <v>48647457</v>
      </c>
      <c r="G62" s="40" t="str">
        <f>HYPERLINK("http://genome.ucsc.edu/cgi-bin/hgTracks?position=chr11:48647235-48647607", "Go2UCSC")</f>
        <v>Go2UCSC</v>
      </c>
      <c r="H62" s="34">
        <v>655.3133333333335</v>
      </c>
      <c r="I62" s="34">
        <v>4.2500000000083329</v>
      </c>
      <c r="J62" s="35">
        <v>659.5633333333418</v>
      </c>
      <c r="K62" s="36">
        <v>0.99355634283287186</v>
      </c>
      <c r="L62" s="35">
        <v>176.82663092046698</v>
      </c>
      <c r="M62" s="34">
        <v>605.22666666666703</v>
      </c>
      <c r="N62" s="34">
        <v>409.946666666667</v>
      </c>
      <c r="O62" s="34">
        <v>757.8</v>
      </c>
      <c r="P62" s="34">
        <v>848.28</v>
      </c>
      <c r="Q62" s="34">
        <v>4</v>
      </c>
      <c r="R62" s="34">
        <v>3.8333333333333299</v>
      </c>
      <c r="S62" s="34">
        <v>4</v>
      </c>
      <c r="T62" s="34">
        <v>5.1666666667000003</v>
      </c>
    </row>
    <row r="63" spans="1:142" s="10" customFormat="1" ht="25.5" x14ac:dyDescent="0.2">
      <c r="A63" s="19">
        <v>60</v>
      </c>
      <c r="B63" s="37" t="s">
        <v>169</v>
      </c>
      <c r="C63" s="60" t="s">
        <v>388</v>
      </c>
      <c r="D63" s="37" t="s">
        <v>414</v>
      </c>
      <c r="E63" s="38">
        <v>21252654</v>
      </c>
      <c r="F63" s="39">
        <v>21252725</v>
      </c>
      <c r="G63" s="40" t="str">
        <f>HYPERLINK("http://genome.ucsc.edu/cgi-bin/hgTracks?position=chr13:21252504-21252875", "Go2UCSC")</f>
        <v>Go2UCSC</v>
      </c>
      <c r="H63" s="34">
        <v>648.70666666666671</v>
      </c>
      <c r="I63" s="34">
        <v>4.875</v>
      </c>
      <c r="J63" s="35">
        <v>653.58166666666671</v>
      </c>
      <c r="K63" s="36">
        <v>0.99254110044906396</v>
      </c>
      <c r="L63" s="35">
        <v>175.69399641577061</v>
      </c>
      <c r="M63" s="34">
        <v>614.93333333333305</v>
      </c>
      <c r="N63" s="34">
        <v>414.62666666666701</v>
      </c>
      <c r="O63" s="34">
        <v>727.08</v>
      </c>
      <c r="P63" s="34">
        <v>838.18666666666695</v>
      </c>
      <c r="Q63" s="34">
        <v>4.5</v>
      </c>
      <c r="R63" s="34">
        <v>4.5</v>
      </c>
      <c r="S63" s="34">
        <v>4.5</v>
      </c>
      <c r="T63" s="34">
        <v>6</v>
      </c>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row>
    <row r="64" spans="1:142" ht="25.5" x14ac:dyDescent="0.2">
      <c r="A64" s="19">
        <v>61</v>
      </c>
      <c r="B64" s="37" t="s">
        <v>39</v>
      </c>
      <c r="C64" s="60" t="s">
        <v>389</v>
      </c>
      <c r="D64" s="37" t="s">
        <v>88</v>
      </c>
      <c r="E64" s="38">
        <v>68850505</v>
      </c>
      <c r="F64" s="39">
        <v>68850578</v>
      </c>
      <c r="G64" s="40" t="str">
        <f>HYPERLINK("http://genome.ucsc.edu/cgi-bin/hgTracks?position=chr11:68850355-68850728", "Go2UCSC")</f>
        <v>Go2UCSC</v>
      </c>
      <c r="H64" s="34">
        <v>645.18666666666672</v>
      </c>
      <c r="I64" s="34">
        <v>5.875</v>
      </c>
      <c r="J64" s="35">
        <v>651.06166666666672</v>
      </c>
      <c r="K64" s="36">
        <v>0.99097627720876413</v>
      </c>
      <c r="L64" s="35">
        <v>174.0806595365419</v>
      </c>
      <c r="M64" s="34">
        <v>589.55999999999995</v>
      </c>
      <c r="N64" s="34">
        <v>380.506666666667</v>
      </c>
      <c r="O64" s="34">
        <v>704.26666666666699</v>
      </c>
      <c r="P64" s="34">
        <v>906.41333333333296</v>
      </c>
      <c r="Q64" s="34">
        <v>5.75</v>
      </c>
      <c r="R64" s="34">
        <v>2.875</v>
      </c>
      <c r="S64" s="34">
        <v>7.625</v>
      </c>
      <c r="T64" s="34">
        <v>7.25</v>
      </c>
    </row>
    <row r="65" spans="1:20" ht="25.5" x14ac:dyDescent="0.2">
      <c r="A65" s="20">
        <v>62</v>
      </c>
      <c r="B65" s="37" t="s">
        <v>91</v>
      </c>
      <c r="C65" s="60" t="s">
        <v>390</v>
      </c>
      <c r="D65" s="37" t="s">
        <v>85</v>
      </c>
      <c r="E65" s="38">
        <v>18508671</v>
      </c>
      <c r="F65" s="39">
        <v>18508744</v>
      </c>
      <c r="G65" s="40" t="str">
        <f>HYPERLINK("http://genome.ucsc.edu/cgi-bin/hgTracks?position=chr2:18508521-18508894", "Go2UCSC")</f>
        <v>Go2UCSC</v>
      </c>
      <c r="H65" s="34">
        <v>648.84333333333325</v>
      </c>
      <c r="I65" s="34">
        <v>0</v>
      </c>
      <c r="J65" s="35">
        <v>648.84333333333325</v>
      </c>
      <c r="K65" s="36">
        <v>1</v>
      </c>
      <c r="L65" s="35">
        <v>173.48752228163991</v>
      </c>
      <c r="M65" s="34">
        <v>631.34666666666703</v>
      </c>
      <c r="N65" s="34">
        <v>388.57333333333298</v>
      </c>
      <c r="O65" s="34">
        <v>755.85333333333301</v>
      </c>
      <c r="P65" s="34">
        <v>819.6</v>
      </c>
      <c r="Q65" s="34">
        <v>0</v>
      </c>
      <c r="R65" s="34">
        <v>0</v>
      </c>
      <c r="S65" s="34">
        <v>0</v>
      </c>
      <c r="T65" s="34">
        <v>0</v>
      </c>
    </row>
    <row r="66" spans="1:20" ht="25.5" x14ac:dyDescent="0.2">
      <c r="A66" s="19">
        <v>63</v>
      </c>
      <c r="B66" s="37" t="s">
        <v>170</v>
      </c>
      <c r="C66" s="60" t="s">
        <v>391</v>
      </c>
      <c r="D66" s="37" t="s">
        <v>423</v>
      </c>
      <c r="E66" s="38">
        <v>12642369</v>
      </c>
      <c r="F66" s="39">
        <v>12642451</v>
      </c>
      <c r="G66" s="40" t="str">
        <f>HYPERLINK("http://genome.ucsc.edu/cgi-bin/hgTracks?position=chr10:12642219-12642601", "Go2UCSC")</f>
        <v>Go2UCSC</v>
      </c>
      <c r="H66" s="34">
        <v>663.28333333333319</v>
      </c>
      <c r="I66" s="34">
        <v>0</v>
      </c>
      <c r="J66" s="35">
        <v>663.28333333333319</v>
      </c>
      <c r="K66" s="36">
        <v>1</v>
      </c>
      <c r="L66" s="35">
        <v>173.18102697998253</v>
      </c>
      <c r="M66" s="34">
        <v>617.64</v>
      </c>
      <c r="N66" s="34">
        <v>427.04</v>
      </c>
      <c r="O66" s="34">
        <v>845.33333333333303</v>
      </c>
      <c r="P66" s="34">
        <v>763.12</v>
      </c>
      <c r="Q66" s="34">
        <v>0</v>
      </c>
      <c r="R66" s="34">
        <v>0</v>
      </c>
      <c r="S66" s="34">
        <v>0</v>
      </c>
      <c r="T66" s="34">
        <v>0</v>
      </c>
    </row>
    <row r="67" spans="1:20" ht="25.5" x14ac:dyDescent="0.2">
      <c r="A67" s="20">
        <v>64</v>
      </c>
      <c r="B67" s="40" t="s">
        <v>11</v>
      </c>
      <c r="C67" s="62" t="s">
        <v>392</v>
      </c>
      <c r="D67" s="40" t="s">
        <v>85</v>
      </c>
      <c r="E67" s="38">
        <v>122201230</v>
      </c>
      <c r="F67" s="38">
        <v>122201301</v>
      </c>
      <c r="G67" s="40" t="str">
        <f>HYPERLINK("http://genome.ucsc.edu/cgi-bin/hgTracks?position=chr2:122201080-122201451", "Go2UCSC")</f>
        <v>Go2UCSC</v>
      </c>
      <c r="H67" s="35">
        <v>594.21333333333348</v>
      </c>
      <c r="I67" s="35">
        <v>48.333333333325001</v>
      </c>
      <c r="J67" s="35">
        <v>642.54666666665844</v>
      </c>
      <c r="K67" s="42">
        <v>0.92477848560935827</v>
      </c>
      <c r="L67" s="35">
        <v>172.72759856630603</v>
      </c>
      <c r="M67" s="35">
        <v>618.52</v>
      </c>
      <c r="N67" s="35">
        <v>412.86666666666702</v>
      </c>
      <c r="O67" s="35">
        <v>701.54666666666697</v>
      </c>
      <c r="P67" s="35">
        <v>643.91999999999996</v>
      </c>
      <c r="Q67" s="35">
        <v>45</v>
      </c>
      <c r="R67" s="35">
        <v>39.375</v>
      </c>
      <c r="S67" s="35">
        <v>54.958333333299997</v>
      </c>
      <c r="T67" s="35">
        <v>54</v>
      </c>
    </row>
    <row r="68" spans="1:20" ht="25.5" x14ac:dyDescent="0.2">
      <c r="A68" s="19">
        <v>65</v>
      </c>
      <c r="B68" s="37" t="s">
        <v>167</v>
      </c>
      <c r="C68" s="60" t="s">
        <v>393</v>
      </c>
      <c r="D68" s="37" t="s">
        <v>252</v>
      </c>
      <c r="E68" s="38">
        <v>121995866</v>
      </c>
      <c r="F68" s="39">
        <v>121995950</v>
      </c>
      <c r="G68" s="40" t="str">
        <f>HYPERLINK("http://genome.ucsc.edu/cgi-bin/hgTracks?position=chr3:121995716-121996100", "Go2UCSC")</f>
        <v>Go2UCSC</v>
      </c>
      <c r="H68" s="34">
        <v>663.23666666666668</v>
      </c>
      <c r="I68" s="34">
        <v>0</v>
      </c>
      <c r="J68" s="35">
        <v>663.23666666666668</v>
      </c>
      <c r="K68" s="36">
        <v>1</v>
      </c>
      <c r="L68" s="35">
        <v>172.26926406926407</v>
      </c>
      <c r="M68" s="34">
        <v>595.48</v>
      </c>
      <c r="N68" s="34">
        <v>433.22666666666697</v>
      </c>
      <c r="O68" s="34">
        <v>786.37333333333299</v>
      </c>
      <c r="P68" s="34">
        <v>837.86666666666702</v>
      </c>
      <c r="Q68" s="34">
        <v>0</v>
      </c>
      <c r="R68" s="34">
        <v>0</v>
      </c>
      <c r="S68" s="34">
        <v>0</v>
      </c>
      <c r="T68" s="34">
        <v>0</v>
      </c>
    </row>
    <row r="69" spans="1:20" ht="25.5" x14ac:dyDescent="0.2">
      <c r="A69" s="19">
        <v>66</v>
      </c>
      <c r="B69" s="37" t="s">
        <v>178</v>
      </c>
      <c r="C69" s="60" t="s">
        <v>394</v>
      </c>
      <c r="D69" s="37" t="s">
        <v>179</v>
      </c>
      <c r="E69" s="38">
        <v>38483931</v>
      </c>
      <c r="F69" s="39">
        <v>38484003</v>
      </c>
      <c r="G69" s="40" t="str">
        <f>HYPERLINK("http://genome.ucsc.edu/cgi-bin/hgTracks?position=chr6:38483781-38484153", "Go2UCSC")</f>
        <v>Go2UCSC</v>
      </c>
      <c r="H69" s="34">
        <v>640.20000000000005</v>
      </c>
      <c r="I69" s="34">
        <v>0</v>
      </c>
      <c r="J69" s="35">
        <v>640.20000000000005</v>
      </c>
      <c r="K69" s="36">
        <v>1</v>
      </c>
      <c r="L69" s="35">
        <v>171.63538873994639</v>
      </c>
      <c r="M69" s="34">
        <v>571.09333333333302</v>
      </c>
      <c r="N69" s="34">
        <v>424.10666666666702</v>
      </c>
      <c r="O69" s="34">
        <v>717.62666666666701</v>
      </c>
      <c r="P69" s="34">
        <v>847.97333333333302</v>
      </c>
      <c r="Q69" s="34">
        <v>0</v>
      </c>
      <c r="R69" s="34">
        <v>0</v>
      </c>
      <c r="S69" s="34">
        <v>0</v>
      </c>
      <c r="T69" s="34">
        <v>0</v>
      </c>
    </row>
    <row r="70" spans="1:20" ht="25.5" x14ac:dyDescent="0.2">
      <c r="A70" s="19">
        <v>67</v>
      </c>
      <c r="B70" s="37" t="s">
        <v>201</v>
      </c>
      <c r="C70" s="60" t="s">
        <v>395</v>
      </c>
      <c r="D70" s="37" t="s">
        <v>257</v>
      </c>
      <c r="E70" s="38">
        <v>64585853</v>
      </c>
      <c r="F70" s="39">
        <v>64585924</v>
      </c>
      <c r="G70" s="40" t="str">
        <f>HYPERLINK("http://genome.ucsc.edu/cgi-bin/hgTracks?position=chr9:64585703-64586074", "Go2UCSC")</f>
        <v>Go2UCSC</v>
      </c>
      <c r="H70" s="34">
        <v>635.22333333333324</v>
      </c>
      <c r="I70" s="34">
        <v>0</v>
      </c>
      <c r="J70" s="35">
        <v>635.22333333333324</v>
      </c>
      <c r="K70" s="36">
        <v>1</v>
      </c>
      <c r="L70" s="35">
        <v>170.75896057347666</v>
      </c>
      <c r="M70" s="34">
        <v>500.17333333333301</v>
      </c>
      <c r="N70" s="34">
        <v>343.44</v>
      </c>
      <c r="O70" s="34">
        <v>810.10666666666702</v>
      </c>
      <c r="P70" s="34">
        <v>887.17333333333295</v>
      </c>
      <c r="Q70" s="34">
        <v>0</v>
      </c>
      <c r="R70" s="34">
        <v>0</v>
      </c>
      <c r="S70" s="34">
        <v>0</v>
      </c>
      <c r="T70" s="34">
        <v>0</v>
      </c>
    </row>
    <row r="71" spans="1:20" ht="25.5" x14ac:dyDescent="0.2">
      <c r="A71" s="19">
        <v>68</v>
      </c>
      <c r="B71" s="37" t="s">
        <v>171</v>
      </c>
      <c r="C71" s="60" t="s">
        <v>396</v>
      </c>
      <c r="D71" s="37" t="s">
        <v>88</v>
      </c>
      <c r="E71" s="38">
        <v>115275093</v>
      </c>
      <c r="F71" s="39">
        <v>115275165</v>
      </c>
      <c r="G71" s="40" t="str">
        <f>HYPERLINK("http://genome.ucsc.edu/cgi-bin/hgTracks?position=chr11:115274943-115275315", "Go2UCSC")</f>
        <v>Go2UCSC</v>
      </c>
      <c r="H71" s="34">
        <v>634.5633333333335</v>
      </c>
      <c r="I71" s="34">
        <v>0</v>
      </c>
      <c r="J71" s="35">
        <v>634.5633333333335</v>
      </c>
      <c r="K71" s="36">
        <v>1</v>
      </c>
      <c r="L71" s="35">
        <v>170.12421805183203</v>
      </c>
      <c r="M71" s="34">
        <v>580.94666666666706</v>
      </c>
      <c r="N71" s="34">
        <v>448.86666666666702</v>
      </c>
      <c r="O71" s="34">
        <v>776.2</v>
      </c>
      <c r="P71" s="34">
        <v>732.24</v>
      </c>
      <c r="Q71" s="34">
        <v>0</v>
      </c>
      <c r="R71" s="34">
        <v>0</v>
      </c>
      <c r="S71" s="34">
        <v>0</v>
      </c>
      <c r="T71" s="34">
        <v>0</v>
      </c>
    </row>
    <row r="72" spans="1:20" ht="25.5" x14ac:dyDescent="0.2">
      <c r="A72" s="20">
        <v>69</v>
      </c>
      <c r="B72" s="37" t="s">
        <v>51</v>
      </c>
      <c r="C72" s="60" t="s">
        <v>397</v>
      </c>
      <c r="D72" s="37" t="s">
        <v>88</v>
      </c>
      <c r="E72" s="38">
        <v>68932296</v>
      </c>
      <c r="F72" s="39">
        <v>68932366</v>
      </c>
      <c r="G72" s="40" t="str">
        <f>HYPERLINK("http://genome.ucsc.edu/cgi-bin/hgTracks?position=chr11:68932146-68932516", "Go2UCSC")</f>
        <v>Go2UCSC</v>
      </c>
      <c r="H72" s="34">
        <v>628.78666666666675</v>
      </c>
      <c r="I72" s="34">
        <v>0</v>
      </c>
      <c r="J72" s="35">
        <v>628.78666666666675</v>
      </c>
      <c r="K72" s="36">
        <v>1</v>
      </c>
      <c r="L72" s="35">
        <v>169.48427672955975</v>
      </c>
      <c r="M72" s="34">
        <v>686.6</v>
      </c>
      <c r="N72" s="34">
        <v>440.01333333333298</v>
      </c>
      <c r="O72" s="34">
        <v>650.82666666666705</v>
      </c>
      <c r="P72" s="34">
        <v>737.70666666666705</v>
      </c>
      <c r="Q72" s="34">
        <v>0</v>
      </c>
      <c r="R72" s="34">
        <v>0</v>
      </c>
      <c r="S72" s="34">
        <v>0</v>
      </c>
      <c r="T72" s="34">
        <v>0</v>
      </c>
    </row>
    <row r="73" spans="1:20" ht="25.5" x14ac:dyDescent="0.2">
      <c r="A73" s="19">
        <v>70</v>
      </c>
      <c r="B73" s="37" t="s">
        <v>182</v>
      </c>
      <c r="C73" s="60" t="s">
        <v>398</v>
      </c>
      <c r="D73" s="37" t="s">
        <v>204</v>
      </c>
      <c r="E73" s="38">
        <v>23685735</v>
      </c>
      <c r="F73" s="39">
        <v>23685807</v>
      </c>
      <c r="G73" s="40" t="str">
        <f>HYPERLINK("http://genome.ucsc.edu/cgi-bin/hgTracks?position=chr17:23685585-23685957", "Go2UCSC")</f>
        <v>Go2UCSC</v>
      </c>
      <c r="H73" s="34">
        <v>619.65666666666652</v>
      </c>
      <c r="I73" s="34">
        <v>0</v>
      </c>
      <c r="J73" s="35">
        <v>619.65666666666652</v>
      </c>
      <c r="K73" s="36">
        <v>1</v>
      </c>
      <c r="L73" s="35">
        <v>166.12779267202856</v>
      </c>
      <c r="M73" s="34">
        <v>561.89333333333298</v>
      </c>
      <c r="N73" s="34">
        <v>433.62666666666701</v>
      </c>
      <c r="O73" s="34">
        <v>742.77333333333297</v>
      </c>
      <c r="P73" s="34">
        <v>740.33333333333303</v>
      </c>
      <c r="Q73" s="34">
        <v>0</v>
      </c>
      <c r="R73" s="34">
        <v>0</v>
      </c>
      <c r="S73" s="34">
        <v>0</v>
      </c>
      <c r="T73" s="34">
        <v>0</v>
      </c>
    </row>
    <row r="74" spans="1:20" ht="25.5" x14ac:dyDescent="0.2">
      <c r="A74" s="19">
        <v>71</v>
      </c>
      <c r="B74" s="37" t="s">
        <v>342</v>
      </c>
      <c r="C74" s="60" t="s">
        <v>399</v>
      </c>
      <c r="D74" s="37" t="s">
        <v>423</v>
      </c>
      <c r="E74" s="38">
        <v>62892224</v>
      </c>
      <c r="F74" s="39">
        <v>62892305</v>
      </c>
      <c r="G74" s="40" t="str">
        <f>HYPERLINK("http://genome.ucsc.edu/cgi-bin/hgTracks?position=chr10:62892074-62892455", "Go2UCSC")</f>
        <v>Go2UCSC</v>
      </c>
      <c r="H74" s="34">
        <v>631.36666666666679</v>
      </c>
      <c r="I74" s="34">
        <v>0</v>
      </c>
      <c r="J74" s="35">
        <v>631.36666666666679</v>
      </c>
      <c r="K74" s="36">
        <v>1</v>
      </c>
      <c r="L74" s="35">
        <v>165.27923211169286</v>
      </c>
      <c r="M74" s="34">
        <v>733.68</v>
      </c>
      <c r="N74" s="34">
        <v>549.10666666666702</v>
      </c>
      <c r="O74" s="34">
        <v>653.69333333333304</v>
      </c>
      <c r="P74" s="34">
        <v>588.98666666666702</v>
      </c>
      <c r="Q74" s="34">
        <v>0</v>
      </c>
      <c r="R74" s="34">
        <v>0</v>
      </c>
      <c r="S74" s="34">
        <v>0</v>
      </c>
      <c r="T74" s="34">
        <v>0</v>
      </c>
    </row>
    <row r="75" spans="1:20" ht="25.5" x14ac:dyDescent="0.2">
      <c r="A75" s="20">
        <v>72</v>
      </c>
      <c r="B75" s="37" t="s">
        <v>184</v>
      </c>
      <c r="C75" s="60" t="s">
        <v>400</v>
      </c>
      <c r="D75" s="37" t="s">
        <v>259</v>
      </c>
      <c r="E75" s="38">
        <v>65654685</v>
      </c>
      <c r="F75" s="39">
        <v>65654756</v>
      </c>
      <c r="G75" s="40" t="str">
        <f>HYPERLINK("http://genome.ucsc.edu/cgi-bin/hgTracks?position=chr7:65654535-65654906", "Go2UCSC")</f>
        <v>Go2UCSC</v>
      </c>
      <c r="H75" s="34">
        <v>604.38666666666677</v>
      </c>
      <c r="I75" s="34">
        <v>4.7916666666666652</v>
      </c>
      <c r="J75" s="35">
        <v>609.1783333333334</v>
      </c>
      <c r="K75" s="36">
        <v>0.99213421357183318</v>
      </c>
      <c r="L75" s="35">
        <v>163.75761648745521</v>
      </c>
      <c r="M75" s="34">
        <v>601.66666666666697</v>
      </c>
      <c r="N75" s="34">
        <v>401.64</v>
      </c>
      <c r="O75" s="34">
        <v>691.69333333333304</v>
      </c>
      <c r="P75" s="34">
        <v>722.54666666666697</v>
      </c>
      <c r="Q75" s="34">
        <v>4.3333333333333304</v>
      </c>
      <c r="R75" s="34">
        <v>1.8333333333333299</v>
      </c>
      <c r="S75" s="34">
        <v>6</v>
      </c>
      <c r="T75" s="34">
        <v>7</v>
      </c>
    </row>
    <row r="76" spans="1:20" ht="25.5" x14ac:dyDescent="0.2">
      <c r="A76" s="20">
        <v>73</v>
      </c>
      <c r="B76" s="37" t="s">
        <v>166</v>
      </c>
      <c r="C76" s="60" t="s">
        <v>401</v>
      </c>
      <c r="D76" s="37" t="s">
        <v>88</v>
      </c>
      <c r="E76" s="38">
        <v>97563763</v>
      </c>
      <c r="F76" s="39">
        <v>97563836</v>
      </c>
      <c r="G76" s="40" t="str">
        <f>HYPERLINK("http://genome.ucsc.edu/cgi-bin/hgTracks?position=chr11:97563613-97563986", "Go2UCSC")</f>
        <v>Go2UCSC</v>
      </c>
      <c r="H76" s="34">
        <v>600.96333333333325</v>
      </c>
      <c r="I76" s="34">
        <v>8.1583333333249968</v>
      </c>
      <c r="J76" s="35">
        <v>609.12166666665826</v>
      </c>
      <c r="K76" s="36">
        <v>0.98660639773664516</v>
      </c>
      <c r="L76" s="35">
        <v>162.86675579322414</v>
      </c>
      <c r="M76" s="34">
        <v>774.26666666666699</v>
      </c>
      <c r="N76" s="34">
        <v>496.41333333333301</v>
      </c>
      <c r="O76" s="34">
        <v>553.65333333333297</v>
      </c>
      <c r="P76" s="34">
        <v>579.52</v>
      </c>
      <c r="Q76" s="34">
        <v>8.1333333333333293</v>
      </c>
      <c r="R76" s="34">
        <v>5.7666666666666604</v>
      </c>
      <c r="S76" s="34">
        <v>9.6</v>
      </c>
      <c r="T76" s="34">
        <v>9.1333333332999995</v>
      </c>
    </row>
    <row r="77" spans="1:20" ht="25.5" x14ac:dyDescent="0.2">
      <c r="A77" s="20">
        <v>74</v>
      </c>
      <c r="B77" s="37" t="s">
        <v>165</v>
      </c>
      <c r="C77" s="60" t="s">
        <v>612</v>
      </c>
      <c r="D77" s="37" t="s">
        <v>30</v>
      </c>
      <c r="E77" s="38">
        <v>172968745</v>
      </c>
      <c r="F77" s="39">
        <v>172968827</v>
      </c>
      <c r="G77" s="40" t="str">
        <f>HYPERLINK("http://genome.ucsc.edu/cgi-bin/hgTracks?position=chr1:172968595-172968977", "Go2UCSC")</f>
        <v>Go2UCSC</v>
      </c>
      <c r="H77" s="34">
        <v>605.1</v>
      </c>
      <c r="I77" s="34">
        <v>15.927083333325001</v>
      </c>
      <c r="J77" s="35">
        <v>621.02708333332498</v>
      </c>
      <c r="K77" s="36">
        <v>0.97435364131329461</v>
      </c>
      <c r="L77" s="35">
        <v>162.14806353350522</v>
      </c>
      <c r="M77" s="34">
        <v>609.36</v>
      </c>
      <c r="N77" s="34">
        <v>400.72</v>
      </c>
      <c r="O77" s="34">
        <v>682.613333333333</v>
      </c>
      <c r="P77" s="34">
        <v>727.70666666666705</v>
      </c>
      <c r="Q77" s="34">
        <v>12.5833333333333</v>
      </c>
      <c r="R77" s="34">
        <v>11.7916666666667</v>
      </c>
      <c r="S77" s="34">
        <v>20.458333333300001</v>
      </c>
      <c r="T77" s="34">
        <v>18.875</v>
      </c>
    </row>
    <row r="78" spans="1:20" ht="25.5" x14ac:dyDescent="0.2">
      <c r="A78" s="19">
        <v>75</v>
      </c>
      <c r="B78" s="37" t="s">
        <v>97</v>
      </c>
      <c r="C78" s="60" t="s">
        <v>613</v>
      </c>
      <c r="D78" s="37" t="s">
        <v>30</v>
      </c>
      <c r="E78" s="38">
        <v>173032887</v>
      </c>
      <c r="F78" s="39">
        <v>173032958</v>
      </c>
      <c r="G78" s="40" t="str">
        <f>HYPERLINK("http://genome.ucsc.edu/cgi-bin/hgTracks?position=chr1:173032737-173033065", "Go2UCSC")</f>
        <v>Go2UCSC</v>
      </c>
      <c r="H78" s="34">
        <v>519.75333333333356</v>
      </c>
      <c r="I78" s="34">
        <v>7.125</v>
      </c>
      <c r="J78" s="35">
        <v>526.87833333333356</v>
      </c>
      <c r="K78" s="36">
        <v>0.9864769538824586</v>
      </c>
      <c r="L78" s="35">
        <v>160.14539007092205</v>
      </c>
      <c r="M78" s="34">
        <v>490.08</v>
      </c>
      <c r="N78" s="34">
        <v>368.066666666667</v>
      </c>
      <c r="O78" s="34">
        <v>589</v>
      </c>
      <c r="P78" s="34">
        <v>631.86666666666702</v>
      </c>
      <c r="Q78" s="34">
        <v>8</v>
      </c>
      <c r="R78" s="34">
        <v>5.5</v>
      </c>
      <c r="S78" s="34">
        <v>7</v>
      </c>
      <c r="T78" s="34">
        <v>8</v>
      </c>
    </row>
    <row r="79" spans="1:20" ht="25.5" x14ac:dyDescent="0.2">
      <c r="A79" s="19">
        <v>76</v>
      </c>
      <c r="B79" s="37" t="s">
        <v>90</v>
      </c>
      <c r="C79" s="60" t="s">
        <v>614</v>
      </c>
      <c r="D79" s="37" t="s">
        <v>204</v>
      </c>
      <c r="E79" s="38">
        <v>84261284</v>
      </c>
      <c r="F79" s="39">
        <v>84261376</v>
      </c>
      <c r="G79" s="40" t="str">
        <f>HYPERLINK("http://genome.ucsc.edu/cgi-bin/hgTracks?position=chr17:84261134-84261526", "Go2UCSC")</f>
        <v>Go2UCSC</v>
      </c>
      <c r="H79" s="34">
        <v>627.40333333333319</v>
      </c>
      <c r="I79" s="34">
        <v>0</v>
      </c>
      <c r="J79" s="35">
        <v>627.40333333333319</v>
      </c>
      <c r="K79" s="36">
        <v>1</v>
      </c>
      <c r="L79" s="35">
        <v>159.64461407972854</v>
      </c>
      <c r="M79" s="34">
        <v>572.73333333333301</v>
      </c>
      <c r="N79" s="34">
        <v>443.22666666666697</v>
      </c>
      <c r="O79" s="34">
        <v>796.41333333333296</v>
      </c>
      <c r="P79" s="34">
        <v>697.24</v>
      </c>
      <c r="Q79" s="34">
        <v>0</v>
      </c>
      <c r="R79" s="34">
        <v>0</v>
      </c>
      <c r="S79" s="34">
        <v>0</v>
      </c>
      <c r="T79" s="34">
        <v>0</v>
      </c>
    </row>
    <row r="80" spans="1:20" ht="25.5" x14ac:dyDescent="0.2">
      <c r="A80" s="19">
        <v>77</v>
      </c>
      <c r="B80" s="37" t="s">
        <v>185</v>
      </c>
      <c r="C80" s="60" t="s">
        <v>615</v>
      </c>
      <c r="D80" s="37" t="s">
        <v>423</v>
      </c>
      <c r="E80" s="38">
        <v>127895520</v>
      </c>
      <c r="F80" s="39">
        <v>127895601</v>
      </c>
      <c r="G80" s="40" t="str">
        <f>HYPERLINK("http://genome.ucsc.edu/cgi-bin/hgTracks?position=chr10:127895370-127895751", "Go2UCSC")</f>
        <v>Go2UCSC</v>
      </c>
      <c r="H80" s="34">
        <v>603.65333333333319</v>
      </c>
      <c r="I80" s="34">
        <v>0</v>
      </c>
      <c r="J80" s="35">
        <v>603.65333333333319</v>
      </c>
      <c r="K80" s="36">
        <v>1</v>
      </c>
      <c r="L80" s="35">
        <v>158.02443280977309</v>
      </c>
      <c r="M80" s="34">
        <v>600.76</v>
      </c>
      <c r="N80" s="34">
        <v>396.28</v>
      </c>
      <c r="O80" s="34">
        <v>683.13333333333298</v>
      </c>
      <c r="P80" s="34">
        <v>734.44</v>
      </c>
      <c r="Q80" s="34">
        <v>0</v>
      </c>
      <c r="R80" s="34">
        <v>0</v>
      </c>
      <c r="S80" s="34">
        <v>0</v>
      </c>
      <c r="T80" s="34">
        <v>0</v>
      </c>
    </row>
    <row r="81" spans="1:20" ht="25.5" x14ac:dyDescent="0.2">
      <c r="A81" s="19">
        <v>78</v>
      </c>
      <c r="B81" s="37" t="s">
        <v>176</v>
      </c>
      <c r="C81" s="60" t="s">
        <v>616</v>
      </c>
      <c r="D81" s="37" t="s">
        <v>261</v>
      </c>
      <c r="E81" s="38">
        <v>51684489</v>
      </c>
      <c r="F81" s="39">
        <v>51684560</v>
      </c>
      <c r="G81" s="40" t="str">
        <f>HYPERLINK("http://genome.ucsc.edu/cgi-bin/hgTracks?position=chr14:51684339-51684701", "Go2UCSC")</f>
        <v>Go2UCSC</v>
      </c>
      <c r="H81" s="34">
        <v>570.30000000000007</v>
      </c>
      <c r="I81" s="34">
        <v>2.75</v>
      </c>
      <c r="J81" s="35">
        <v>573.05000000000007</v>
      </c>
      <c r="K81" s="36">
        <v>0.99520111683099211</v>
      </c>
      <c r="L81" s="35">
        <v>157.86501377410471</v>
      </c>
      <c r="M81" s="34">
        <v>627.25333333333299</v>
      </c>
      <c r="N81" s="34">
        <v>429.02666666666698</v>
      </c>
      <c r="O81" s="34">
        <v>619.18666666666695</v>
      </c>
      <c r="P81" s="34">
        <v>605.73333333333301</v>
      </c>
      <c r="Q81" s="34">
        <v>4</v>
      </c>
      <c r="R81" s="34">
        <v>2</v>
      </c>
      <c r="S81" s="34">
        <v>3</v>
      </c>
      <c r="T81" s="34">
        <v>2</v>
      </c>
    </row>
    <row r="82" spans="1:20" ht="25.5" x14ac:dyDescent="0.2">
      <c r="A82" s="19">
        <v>79</v>
      </c>
      <c r="B82" s="37" t="s">
        <v>206</v>
      </c>
      <c r="C82" s="60" t="s">
        <v>617</v>
      </c>
      <c r="D82" s="37" t="s">
        <v>207</v>
      </c>
      <c r="E82" s="38">
        <v>112083548</v>
      </c>
      <c r="F82" s="39">
        <v>112083621</v>
      </c>
      <c r="G82" s="40" t="str">
        <f>HYPERLINK("http://genome.ucsc.edu/cgi-bin/hgTracks?position=chr12:112083398-112083771", "Go2UCSC")</f>
        <v>Go2UCSC</v>
      </c>
      <c r="H82" s="34">
        <v>578.06000000000017</v>
      </c>
      <c r="I82" s="34">
        <v>7.7833333333499999</v>
      </c>
      <c r="J82" s="35">
        <v>585.84333333335019</v>
      </c>
      <c r="K82" s="36">
        <v>0.98671430928629988</v>
      </c>
      <c r="L82" s="35">
        <v>156.64260249554818</v>
      </c>
      <c r="M82" s="34">
        <v>492.506666666667</v>
      </c>
      <c r="N82" s="34">
        <v>390.54666666666702</v>
      </c>
      <c r="O82" s="34">
        <v>661.32</v>
      </c>
      <c r="P82" s="34">
        <v>767.86666666666702</v>
      </c>
      <c r="Q82" s="34">
        <v>8.5833333333333393</v>
      </c>
      <c r="R82" s="34">
        <v>5.3416666666666597</v>
      </c>
      <c r="S82" s="34">
        <v>7.7916666667000003</v>
      </c>
      <c r="T82" s="34">
        <v>9.4166666666999994</v>
      </c>
    </row>
    <row r="83" spans="1:20" ht="25.5" x14ac:dyDescent="0.2">
      <c r="A83" s="19">
        <v>80</v>
      </c>
      <c r="B83" s="37" t="s">
        <v>532</v>
      </c>
      <c r="C83" s="60" t="s">
        <v>618</v>
      </c>
      <c r="D83" s="37" t="s">
        <v>259</v>
      </c>
      <c r="E83" s="38">
        <v>105964186</v>
      </c>
      <c r="F83" s="39">
        <v>105964257</v>
      </c>
      <c r="G83" s="40" t="str">
        <f>HYPERLINK("http://genome.ucsc.edu/cgi-bin/hgTracks?position=chr7:105964091-105964407", "Go2UCSC")</f>
        <v>Go2UCSC</v>
      </c>
      <c r="H83" s="34">
        <v>485.58</v>
      </c>
      <c r="I83" s="34">
        <v>0</v>
      </c>
      <c r="J83" s="35">
        <v>485.58</v>
      </c>
      <c r="K83" s="36">
        <v>1</v>
      </c>
      <c r="L83" s="35">
        <v>153.17981072555204</v>
      </c>
      <c r="M83" s="34">
        <v>532.65333333333297</v>
      </c>
      <c r="N83" s="34">
        <v>333.506666666667</v>
      </c>
      <c r="O83" s="34">
        <v>499.2</v>
      </c>
      <c r="P83" s="34">
        <v>576.96</v>
      </c>
      <c r="Q83" s="34">
        <v>0</v>
      </c>
      <c r="R83" s="34">
        <v>0</v>
      </c>
      <c r="S83" s="34">
        <v>0</v>
      </c>
      <c r="T83" s="34">
        <v>0</v>
      </c>
    </row>
    <row r="84" spans="1:20" ht="25.5" x14ac:dyDescent="0.2">
      <c r="A84" s="19">
        <v>81</v>
      </c>
      <c r="B84" s="37" t="s">
        <v>325</v>
      </c>
      <c r="C84" s="60" t="s">
        <v>619</v>
      </c>
      <c r="D84" s="37" t="s">
        <v>261</v>
      </c>
      <c r="E84" s="38">
        <v>51684843</v>
      </c>
      <c r="F84" s="39">
        <v>51684915</v>
      </c>
      <c r="G84" s="40" t="str">
        <f>HYPERLINK("http://genome.ucsc.edu/cgi-bin/hgTracks?position=chr14:51684702-51685065", "Go2UCSC")</f>
        <v>Go2UCSC</v>
      </c>
      <c r="H84" s="34">
        <v>556.64333333333354</v>
      </c>
      <c r="I84" s="34">
        <v>0</v>
      </c>
      <c r="J84" s="35">
        <v>556.64333333333354</v>
      </c>
      <c r="K84" s="36">
        <v>1</v>
      </c>
      <c r="L84" s="35">
        <v>152.92399267399273</v>
      </c>
      <c r="M84" s="34">
        <v>561.10666666666702</v>
      </c>
      <c r="N84" s="34">
        <v>367.92</v>
      </c>
      <c r="O84" s="34">
        <v>619.48</v>
      </c>
      <c r="P84" s="34">
        <v>678.06666666666695</v>
      </c>
      <c r="Q84" s="34">
        <v>0</v>
      </c>
      <c r="R84" s="34">
        <v>0</v>
      </c>
      <c r="S84" s="34">
        <v>0</v>
      </c>
      <c r="T84" s="34">
        <v>0</v>
      </c>
    </row>
    <row r="85" spans="1:20" ht="25.5" x14ac:dyDescent="0.2">
      <c r="A85" s="19">
        <v>82</v>
      </c>
      <c r="B85" s="37" t="s">
        <v>327</v>
      </c>
      <c r="C85" s="60" t="s">
        <v>620</v>
      </c>
      <c r="D85" s="37" t="s">
        <v>30</v>
      </c>
      <c r="E85" s="38">
        <v>34491657</v>
      </c>
      <c r="F85" s="39">
        <v>34491728</v>
      </c>
      <c r="G85" s="40" t="str">
        <f>HYPERLINK("http://genome.ucsc.edu/cgi-bin/hgTracks?position=chr1:34491507-34491878", "Go2UCSC")</f>
        <v>Go2UCSC</v>
      </c>
      <c r="H85" s="34">
        <v>562.78666666666641</v>
      </c>
      <c r="I85" s="34">
        <v>3.625</v>
      </c>
      <c r="J85" s="35">
        <v>566.41166666666641</v>
      </c>
      <c r="K85" s="36">
        <v>0.99360006120401234</v>
      </c>
      <c r="L85" s="35">
        <v>152.26120071684582</v>
      </c>
      <c r="M85" s="34">
        <v>619.89333333333298</v>
      </c>
      <c r="N85" s="34">
        <v>391.01333333333298</v>
      </c>
      <c r="O85" s="34">
        <v>639.81333333333305</v>
      </c>
      <c r="P85" s="34">
        <v>600.42666666666696</v>
      </c>
      <c r="Q85" s="34">
        <v>3</v>
      </c>
      <c r="R85" s="34">
        <v>3.5</v>
      </c>
      <c r="S85" s="34">
        <v>4</v>
      </c>
      <c r="T85" s="34">
        <v>4</v>
      </c>
    </row>
    <row r="86" spans="1:20" ht="25.5" x14ac:dyDescent="0.2">
      <c r="A86" s="19">
        <v>83</v>
      </c>
      <c r="B86" s="37" t="s">
        <v>323</v>
      </c>
      <c r="C86" s="60" t="s">
        <v>621</v>
      </c>
      <c r="D86" s="37" t="s">
        <v>87</v>
      </c>
      <c r="E86" s="38">
        <v>125886425</v>
      </c>
      <c r="F86" s="39">
        <v>125886497</v>
      </c>
      <c r="G86" s="40" t="str">
        <f>HYPERLINK("http://genome.ucsc.edu/cgi-bin/hgTracks?position=chr5:125886275-125886647", "Go2UCSC")</f>
        <v>Go2UCSC</v>
      </c>
      <c r="H86" s="34">
        <v>561.54333333333318</v>
      </c>
      <c r="I86" s="34">
        <v>0.625</v>
      </c>
      <c r="J86" s="35">
        <v>562.16833333333318</v>
      </c>
      <c r="K86" s="36">
        <v>0.99888823335833576</v>
      </c>
      <c r="L86" s="35">
        <v>150.71537086684538</v>
      </c>
      <c r="M86" s="34">
        <v>529.65333333333297</v>
      </c>
      <c r="N86" s="34">
        <v>345.76</v>
      </c>
      <c r="O86" s="34">
        <v>635.01333333333298</v>
      </c>
      <c r="P86" s="34">
        <v>735.74666666666701</v>
      </c>
      <c r="Q86" s="34">
        <v>1.5</v>
      </c>
      <c r="R86" s="34">
        <v>0</v>
      </c>
      <c r="S86" s="34">
        <v>1</v>
      </c>
      <c r="T86" s="34">
        <v>0</v>
      </c>
    </row>
    <row r="87" spans="1:20" ht="25.5" x14ac:dyDescent="0.2">
      <c r="A87" s="19">
        <v>84</v>
      </c>
      <c r="B87" s="37" t="s">
        <v>175</v>
      </c>
      <c r="C87" s="60" t="s">
        <v>622</v>
      </c>
      <c r="D87" s="37" t="s">
        <v>423</v>
      </c>
      <c r="E87" s="38">
        <v>92915723</v>
      </c>
      <c r="F87" s="39">
        <v>92915794</v>
      </c>
      <c r="G87" s="40" t="str">
        <f>HYPERLINK("http://genome.ucsc.edu/cgi-bin/hgTracks?position=chr10:92915573-92915944", "Go2UCSC")</f>
        <v>Go2UCSC</v>
      </c>
      <c r="H87" s="34">
        <v>552.24333333333323</v>
      </c>
      <c r="I87" s="34">
        <v>0</v>
      </c>
      <c r="J87" s="35">
        <v>552.24333333333323</v>
      </c>
      <c r="K87" s="36">
        <v>1</v>
      </c>
      <c r="L87" s="35">
        <v>148.45250896057345</v>
      </c>
      <c r="M87" s="34">
        <v>589.86666666666702</v>
      </c>
      <c r="N87" s="34">
        <v>419.21333333333303</v>
      </c>
      <c r="O87" s="34">
        <v>587.48</v>
      </c>
      <c r="P87" s="34">
        <v>612.41333333333296</v>
      </c>
      <c r="Q87" s="34">
        <v>0</v>
      </c>
      <c r="R87" s="34">
        <v>0</v>
      </c>
      <c r="S87" s="34">
        <v>0</v>
      </c>
      <c r="T87" s="34">
        <v>0</v>
      </c>
    </row>
    <row r="88" spans="1:20" ht="25.5" x14ac:dyDescent="0.2">
      <c r="A88" s="19">
        <v>85</v>
      </c>
      <c r="B88" s="37" t="s">
        <v>324</v>
      </c>
      <c r="C88" s="60" t="s">
        <v>623</v>
      </c>
      <c r="D88" s="37" t="s">
        <v>414</v>
      </c>
      <c r="E88" s="38">
        <v>21253274</v>
      </c>
      <c r="F88" s="39">
        <v>21253346</v>
      </c>
      <c r="G88" s="40" t="str">
        <f>HYPERLINK("http://genome.ucsc.edu/cgi-bin/hgTracks?position=chr13:21253124-21253496", "Go2UCSC")</f>
        <v>Go2UCSC</v>
      </c>
      <c r="H88" s="34">
        <v>547.76333333333332</v>
      </c>
      <c r="I88" s="34">
        <v>0</v>
      </c>
      <c r="J88" s="35">
        <v>547.76333333333332</v>
      </c>
      <c r="K88" s="36">
        <v>1</v>
      </c>
      <c r="L88" s="35">
        <v>146.85344057193922</v>
      </c>
      <c r="M88" s="34">
        <v>593.13333333333298</v>
      </c>
      <c r="N88" s="34">
        <v>397.08</v>
      </c>
      <c r="O88" s="34">
        <v>562.32000000000005</v>
      </c>
      <c r="P88" s="34">
        <v>638.52</v>
      </c>
      <c r="Q88" s="34">
        <v>0</v>
      </c>
      <c r="R88" s="34">
        <v>0</v>
      </c>
      <c r="S88" s="34">
        <v>0</v>
      </c>
      <c r="T88" s="34">
        <v>0</v>
      </c>
    </row>
    <row r="89" spans="1:20" ht="25.5" x14ac:dyDescent="0.2">
      <c r="A89" s="19">
        <v>86</v>
      </c>
      <c r="B89" s="37" t="s">
        <v>177</v>
      </c>
      <c r="C89" s="60" t="s">
        <v>624</v>
      </c>
      <c r="D89" s="37" t="s">
        <v>414</v>
      </c>
      <c r="E89" s="38">
        <v>21325914</v>
      </c>
      <c r="F89" s="39">
        <v>21325985</v>
      </c>
      <c r="G89" s="40" t="str">
        <f>HYPERLINK("http://genome.ucsc.edu/cgi-bin/hgTracks?position=chr13:21325764-21326135", "Go2UCSC")</f>
        <v>Go2UCSC</v>
      </c>
      <c r="H89" s="34">
        <v>541.77333333333354</v>
      </c>
      <c r="I89" s="34">
        <v>0</v>
      </c>
      <c r="J89" s="35">
        <v>541.77333333333354</v>
      </c>
      <c r="K89" s="36">
        <v>1</v>
      </c>
      <c r="L89" s="35">
        <v>145.63799283154128</v>
      </c>
      <c r="M89" s="34">
        <v>415.2</v>
      </c>
      <c r="N89" s="34">
        <v>275.16000000000003</v>
      </c>
      <c r="O89" s="34">
        <v>652.22666666666703</v>
      </c>
      <c r="P89" s="34">
        <v>824.506666666667</v>
      </c>
      <c r="Q89" s="34">
        <v>0</v>
      </c>
      <c r="R89" s="34">
        <v>0</v>
      </c>
      <c r="S89" s="34">
        <v>0</v>
      </c>
      <c r="T89" s="34">
        <v>0</v>
      </c>
    </row>
    <row r="90" spans="1:20" ht="25.5" x14ac:dyDescent="0.2">
      <c r="A90" s="19">
        <v>87</v>
      </c>
      <c r="B90" s="41" t="s">
        <v>168</v>
      </c>
      <c r="C90" s="61" t="s">
        <v>625</v>
      </c>
      <c r="D90" s="37" t="s">
        <v>414</v>
      </c>
      <c r="E90" s="38">
        <v>23609561</v>
      </c>
      <c r="F90" s="39">
        <v>23609632</v>
      </c>
      <c r="G90" s="40" t="str">
        <f>HYPERLINK("http://genome.ucsc.edu/cgi-bin/hgTracks?position=chr13:23609411-23609782", "Go2UCSC")</f>
        <v>Go2UCSC</v>
      </c>
      <c r="H90" s="34">
        <v>540.64666666666676</v>
      </c>
      <c r="I90" s="34">
        <v>0</v>
      </c>
      <c r="J90" s="35">
        <v>540.64666666666676</v>
      </c>
      <c r="K90" s="36">
        <v>1</v>
      </c>
      <c r="L90" s="35">
        <v>145.33512544802872</v>
      </c>
      <c r="M90" s="34">
        <v>428.506666666667</v>
      </c>
      <c r="N90" s="34">
        <v>277.053333333333</v>
      </c>
      <c r="O90" s="34">
        <v>699.10666666666702</v>
      </c>
      <c r="P90" s="34">
        <v>757.92</v>
      </c>
      <c r="Q90" s="34">
        <v>0</v>
      </c>
      <c r="R90" s="34">
        <v>0</v>
      </c>
      <c r="S90" s="34">
        <v>0</v>
      </c>
      <c r="T90" s="34">
        <v>0</v>
      </c>
    </row>
    <row r="91" spans="1:20" ht="25.5" x14ac:dyDescent="0.2">
      <c r="A91" s="19">
        <v>88</v>
      </c>
      <c r="B91" s="37" t="s">
        <v>328</v>
      </c>
      <c r="C91" s="60" t="s">
        <v>626</v>
      </c>
      <c r="D91" s="37" t="s">
        <v>88</v>
      </c>
      <c r="E91" s="38">
        <v>68850979</v>
      </c>
      <c r="F91" s="39">
        <v>68851060</v>
      </c>
      <c r="G91" s="40" t="str">
        <f>HYPERLINK("http://genome.ucsc.edu/cgi-bin/hgTracks?position=chr11:68850829-68851207", "Go2UCSC")</f>
        <v>Go2UCSC</v>
      </c>
      <c r="H91" s="34">
        <v>534.16999999999973</v>
      </c>
      <c r="I91" s="34">
        <v>12.831111111127791</v>
      </c>
      <c r="J91" s="35">
        <v>547.00111111112756</v>
      </c>
      <c r="K91" s="36">
        <v>0.976542806128741</v>
      </c>
      <c r="L91" s="35">
        <v>144.32746995016558</v>
      </c>
      <c r="M91" s="34">
        <v>508.89333333333298</v>
      </c>
      <c r="N91" s="34">
        <v>332.25333333333299</v>
      </c>
      <c r="O91" s="34">
        <v>571.12</v>
      </c>
      <c r="P91" s="34">
        <v>724.41333333333296</v>
      </c>
      <c r="Q91" s="34">
        <v>13.3244444444445</v>
      </c>
      <c r="R91" s="34">
        <v>8.2666666666666604</v>
      </c>
      <c r="S91" s="34">
        <v>13.166666666699999</v>
      </c>
      <c r="T91" s="34">
        <v>16.566666666700002</v>
      </c>
    </row>
    <row r="92" spans="1:20" ht="25.5" x14ac:dyDescent="0.2">
      <c r="A92" s="19">
        <v>89</v>
      </c>
      <c r="B92" s="37" t="s">
        <v>180</v>
      </c>
      <c r="C92" s="60" t="s">
        <v>627</v>
      </c>
      <c r="D92" s="37" t="s">
        <v>259</v>
      </c>
      <c r="E92" s="38">
        <v>29158018</v>
      </c>
      <c r="F92" s="39">
        <v>29158112</v>
      </c>
      <c r="G92" s="40" t="str">
        <f>HYPERLINK("http://genome.ucsc.edu/cgi-bin/hgTracks?position=chr7:29157868-29158262", "Go2UCSC")</f>
        <v>Go2UCSC</v>
      </c>
      <c r="H92" s="34">
        <v>561.81999999999994</v>
      </c>
      <c r="I92" s="34">
        <v>0</v>
      </c>
      <c r="J92" s="35">
        <v>561.81999999999994</v>
      </c>
      <c r="K92" s="36">
        <v>1</v>
      </c>
      <c r="L92" s="35">
        <v>142.23291139240504</v>
      </c>
      <c r="M92" s="34">
        <v>581.74666666666701</v>
      </c>
      <c r="N92" s="34">
        <v>414.72</v>
      </c>
      <c r="O92" s="34">
        <v>707.25333333333299</v>
      </c>
      <c r="P92" s="34">
        <v>543.55999999999995</v>
      </c>
      <c r="Q92" s="34">
        <v>0</v>
      </c>
      <c r="R92" s="34">
        <v>0</v>
      </c>
      <c r="S92" s="34">
        <v>0</v>
      </c>
      <c r="T92" s="34">
        <v>0</v>
      </c>
    </row>
    <row r="93" spans="1:20" ht="25.5" x14ac:dyDescent="0.2">
      <c r="A93" s="19">
        <v>90</v>
      </c>
      <c r="B93" s="37" t="s">
        <v>330</v>
      </c>
      <c r="C93" s="60" t="s">
        <v>628</v>
      </c>
      <c r="D93" s="37" t="s">
        <v>88</v>
      </c>
      <c r="E93" s="38">
        <v>68875822</v>
      </c>
      <c r="F93" s="39">
        <v>68875895</v>
      </c>
      <c r="G93" s="40" t="str">
        <f>HYPERLINK("http://genome.ucsc.edu/cgi-bin/hgTracks?position=chr11:68875672-68876045", "Go2UCSC")</f>
        <v>Go2UCSC</v>
      </c>
      <c r="H93" s="34">
        <v>519.63333333333321</v>
      </c>
      <c r="I93" s="34">
        <v>9.2624999999916682</v>
      </c>
      <c r="J93" s="35">
        <v>528.89583333332484</v>
      </c>
      <c r="K93" s="36">
        <v>0.98248709969671066</v>
      </c>
      <c r="L93" s="35">
        <v>141.41599821746652</v>
      </c>
      <c r="M93" s="34">
        <v>456.52</v>
      </c>
      <c r="N93" s="34">
        <v>357.77333333333303</v>
      </c>
      <c r="O93" s="34">
        <v>567.77333333333297</v>
      </c>
      <c r="P93" s="34">
        <v>696.46666666666704</v>
      </c>
      <c r="Q93" s="34">
        <v>9.3333333333333393</v>
      </c>
      <c r="R93" s="34">
        <v>6.0083333333333302</v>
      </c>
      <c r="S93" s="34">
        <v>10.458333333300001</v>
      </c>
      <c r="T93" s="34">
        <v>11.25</v>
      </c>
    </row>
    <row r="94" spans="1:20" ht="25.5" x14ac:dyDescent="0.2">
      <c r="A94" s="19">
        <v>91</v>
      </c>
      <c r="B94" s="37" t="s">
        <v>510</v>
      </c>
      <c r="C94" s="60" t="s">
        <v>629</v>
      </c>
      <c r="D94" s="37" t="s">
        <v>414</v>
      </c>
      <c r="E94" s="38">
        <v>21314455</v>
      </c>
      <c r="F94" s="39">
        <v>21314526</v>
      </c>
      <c r="G94" s="40" t="str">
        <f>HYPERLINK("http://genome.ucsc.edu/cgi-bin/hgTracks?position=chr13:21314305-21314676", "Go2UCSC")</f>
        <v>Go2UCSC</v>
      </c>
      <c r="H94" s="34">
        <v>523.65666666666698</v>
      </c>
      <c r="I94" s="34">
        <v>0</v>
      </c>
      <c r="J94" s="35">
        <v>523.65666666666698</v>
      </c>
      <c r="K94" s="36">
        <v>1</v>
      </c>
      <c r="L94" s="35">
        <v>140.76792114695348</v>
      </c>
      <c r="M94" s="34">
        <v>402.22666666666697</v>
      </c>
      <c r="N94" s="34">
        <v>318.74666666666701</v>
      </c>
      <c r="O94" s="34">
        <v>617.54666666666697</v>
      </c>
      <c r="P94" s="34">
        <v>756.10666666666702</v>
      </c>
      <c r="Q94" s="34">
        <v>0</v>
      </c>
      <c r="R94" s="34">
        <v>0</v>
      </c>
      <c r="S94" s="34">
        <v>0</v>
      </c>
      <c r="T94" s="34">
        <v>0</v>
      </c>
    </row>
    <row r="95" spans="1:20" ht="25.5" x14ac:dyDescent="0.2">
      <c r="A95" s="19">
        <v>92</v>
      </c>
      <c r="B95" s="37" t="s">
        <v>181</v>
      </c>
      <c r="C95" s="60" t="s">
        <v>630</v>
      </c>
      <c r="D95" s="37" t="s">
        <v>414</v>
      </c>
      <c r="E95" s="38">
        <v>23610919</v>
      </c>
      <c r="F95" s="39">
        <v>23610990</v>
      </c>
      <c r="G95" s="40" t="str">
        <f>HYPERLINK("http://genome.ucsc.edu/cgi-bin/hgTracks?position=chr13:23610769-23611140", "Go2UCSC")</f>
        <v>Go2UCSC</v>
      </c>
      <c r="H95" s="34">
        <v>501.73666666666679</v>
      </c>
      <c r="I95" s="34">
        <v>0</v>
      </c>
      <c r="J95" s="35">
        <v>501.73666666666679</v>
      </c>
      <c r="K95" s="36">
        <v>1</v>
      </c>
      <c r="L95" s="35">
        <v>134.87544802867387</v>
      </c>
      <c r="M95" s="34">
        <v>380.66666666666703</v>
      </c>
      <c r="N95" s="34">
        <v>243.666666666667</v>
      </c>
      <c r="O95" s="34">
        <v>654.4</v>
      </c>
      <c r="P95" s="34">
        <v>728.21333333333303</v>
      </c>
      <c r="Q95" s="34">
        <v>0</v>
      </c>
      <c r="R95" s="34">
        <v>0</v>
      </c>
      <c r="S95" s="34">
        <v>0</v>
      </c>
      <c r="T95" s="34">
        <v>0</v>
      </c>
    </row>
    <row r="96" spans="1:20" ht="25.5" x14ac:dyDescent="0.2">
      <c r="A96" s="19">
        <v>93</v>
      </c>
      <c r="B96" s="37" t="s">
        <v>331</v>
      </c>
      <c r="C96" s="60" t="s">
        <v>631</v>
      </c>
      <c r="D96" s="37" t="s">
        <v>30</v>
      </c>
      <c r="E96" s="38">
        <v>172968128</v>
      </c>
      <c r="F96" s="39">
        <v>172968199</v>
      </c>
      <c r="G96" s="40" t="str">
        <f>HYPERLINK("http://genome.ucsc.edu/cgi-bin/hgTracks?position=chr1:172967978-172968349", "Go2UCSC")</f>
        <v>Go2UCSC</v>
      </c>
      <c r="H96" s="34">
        <v>495.77</v>
      </c>
      <c r="I96" s="34">
        <v>1.75</v>
      </c>
      <c r="J96" s="35">
        <v>497.52</v>
      </c>
      <c r="K96" s="36">
        <v>0.99648255346518733</v>
      </c>
      <c r="L96" s="35">
        <v>133.74193548387098</v>
      </c>
      <c r="M96" s="34">
        <v>416.30666666666701</v>
      </c>
      <c r="N96" s="34">
        <v>288.78666666666697</v>
      </c>
      <c r="O96" s="34">
        <v>546.97333333333302</v>
      </c>
      <c r="P96" s="34">
        <v>731.01333333333298</v>
      </c>
      <c r="Q96" s="34">
        <v>2</v>
      </c>
      <c r="R96" s="34">
        <v>1</v>
      </c>
      <c r="S96" s="34">
        <v>2</v>
      </c>
      <c r="T96" s="34">
        <v>2</v>
      </c>
    </row>
    <row r="97" spans="1:142" ht="25.5" x14ac:dyDescent="0.2">
      <c r="A97" s="19">
        <v>94</v>
      </c>
      <c r="B97" s="37" t="s">
        <v>89</v>
      </c>
      <c r="C97" s="60" t="s">
        <v>632</v>
      </c>
      <c r="D97" s="37" t="s">
        <v>252</v>
      </c>
      <c r="E97" s="38">
        <v>96305370</v>
      </c>
      <c r="F97" s="39">
        <v>96305441</v>
      </c>
      <c r="G97" s="40" t="str">
        <f>HYPERLINK("http://genome.ucsc.edu/cgi-bin/hgTracks?position=chr3:96305220-96305591", "Go2UCSC")</f>
        <v>Go2UCSC</v>
      </c>
      <c r="H97" s="34">
        <v>486.41999999999996</v>
      </c>
      <c r="I97" s="34">
        <v>7.5</v>
      </c>
      <c r="J97" s="35">
        <v>493.91999999999996</v>
      </c>
      <c r="K97" s="36">
        <v>0.98481535471331394</v>
      </c>
      <c r="L97" s="35">
        <v>132.77419354838707</v>
      </c>
      <c r="M97" s="34">
        <v>527.90666666666698</v>
      </c>
      <c r="N97" s="34">
        <v>413.21333333333303</v>
      </c>
      <c r="O97" s="34">
        <v>490.52</v>
      </c>
      <c r="P97" s="34">
        <v>514.04</v>
      </c>
      <c r="Q97" s="34">
        <v>7.5</v>
      </c>
      <c r="R97" s="34">
        <v>4</v>
      </c>
      <c r="S97" s="34">
        <v>9</v>
      </c>
      <c r="T97" s="34">
        <v>9.5</v>
      </c>
    </row>
    <row r="98" spans="1:142" ht="25.5" x14ac:dyDescent="0.2">
      <c r="A98" s="19">
        <v>95</v>
      </c>
      <c r="B98" s="37" t="s">
        <v>186</v>
      </c>
      <c r="C98" s="60" t="s">
        <v>633</v>
      </c>
      <c r="D98" s="37" t="s">
        <v>88</v>
      </c>
      <c r="E98" s="38">
        <v>79518152</v>
      </c>
      <c r="F98" s="39">
        <v>79518223</v>
      </c>
      <c r="G98" s="40" t="str">
        <f>HYPERLINK("http://genome.ucsc.edu/cgi-bin/hgTracks?position=chr11:79518002-79518373", "Go2UCSC")</f>
        <v>Go2UCSC</v>
      </c>
      <c r="H98" s="34">
        <v>492.37333333333322</v>
      </c>
      <c r="I98" s="34">
        <v>0</v>
      </c>
      <c r="J98" s="35">
        <v>492.37333333333322</v>
      </c>
      <c r="K98" s="36">
        <v>1</v>
      </c>
      <c r="L98" s="35">
        <v>132.35842293906808</v>
      </c>
      <c r="M98" s="34">
        <v>419.933333333333</v>
      </c>
      <c r="N98" s="34">
        <v>326.33333333333297</v>
      </c>
      <c r="O98" s="34">
        <v>613.36</v>
      </c>
      <c r="P98" s="34">
        <v>609.86666666666702</v>
      </c>
      <c r="Q98" s="34">
        <v>0</v>
      </c>
      <c r="R98" s="34">
        <v>0</v>
      </c>
      <c r="S98" s="34">
        <v>0</v>
      </c>
      <c r="T98" s="34">
        <v>0</v>
      </c>
    </row>
    <row r="99" spans="1:142" ht="25.5" x14ac:dyDescent="0.2">
      <c r="A99" s="19">
        <v>96</v>
      </c>
      <c r="B99" s="37" t="s">
        <v>339</v>
      </c>
      <c r="C99" s="60" t="s">
        <v>634</v>
      </c>
      <c r="D99" s="37" t="s">
        <v>204</v>
      </c>
      <c r="E99" s="38">
        <v>23683443</v>
      </c>
      <c r="F99" s="39">
        <v>23683514</v>
      </c>
      <c r="G99" s="40" t="str">
        <f>HYPERLINK("http://genome.ucsc.edu/cgi-bin/hgTracks?position=chr17:23683293-23683664", "Go2UCSC")</f>
        <v>Go2UCSC</v>
      </c>
      <c r="H99" s="34">
        <v>491.2199999999998</v>
      </c>
      <c r="I99" s="34">
        <v>0</v>
      </c>
      <c r="J99" s="35">
        <v>491.2199999999998</v>
      </c>
      <c r="K99" s="36">
        <v>1</v>
      </c>
      <c r="L99" s="35">
        <v>132.04838709677412</v>
      </c>
      <c r="M99" s="34">
        <v>442.92</v>
      </c>
      <c r="N99" s="34">
        <v>325.85333333333301</v>
      </c>
      <c r="O99" s="34">
        <v>595.89333333333298</v>
      </c>
      <c r="P99" s="34">
        <v>600.21333333333303</v>
      </c>
      <c r="Q99" s="34">
        <v>0</v>
      </c>
      <c r="R99" s="34">
        <v>0</v>
      </c>
      <c r="S99" s="34">
        <v>0</v>
      </c>
      <c r="T99" s="34">
        <v>0</v>
      </c>
    </row>
    <row r="100" spans="1:142" ht="25.5" x14ac:dyDescent="0.2">
      <c r="A100" s="19">
        <v>97</v>
      </c>
      <c r="B100" s="37" t="s">
        <v>332</v>
      </c>
      <c r="C100" s="60" t="s">
        <v>635</v>
      </c>
      <c r="D100" s="37" t="s">
        <v>87</v>
      </c>
      <c r="E100" s="38">
        <v>125889842</v>
      </c>
      <c r="F100" s="39">
        <v>125889913</v>
      </c>
      <c r="G100" s="40" t="str">
        <f>HYPERLINK("http://genome.ucsc.edu/cgi-bin/hgTracks?position=chr5:125889692-125890063", "Go2UCSC")</f>
        <v>Go2UCSC</v>
      </c>
      <c r="H100" s="34">
        <v>484.6933333333335</v>
      </c>
      <c r="I100" s="34">
        <v>0</v>
      </c>
      <c r="J100" s="35">
        <v>484.6933333333335</v>
      </c>
      <c r="K100" s="36">
        <v>1</v>
      </c>
      <c r="L100" s="35">
        <v>130.29390681003588</v>
      </c>
      <c r="M100" s="34">
        <v>374.34666666666698</v>
      </c>
      <c r="N100" s="34">
        <v>234.44</v>
      </c>
      <c r="O100" s="34">
        <v>563.386666666667</v>
      </c>
      <c r="P100" s="34">
        <v>766.6</v>
      </c>
      <c r="Q100" s="34">
        <v>0</v>
      </c>
      <c r="R100" s="34">
        <v>0</v>
      </c>
      <c r="S100" s="34">
        <v>0</v>
      </c>
      <c r="T100" s="34">
        <v>0</v>
      </c>
    </row>
    <row r="101" spans="1:142" ht="25.5" x14ac:dyDescent="0.2">
      <c r="A101" s="19">
        <v>98</v>
      </c>
      <c r="B101" s="37" t="s">
        <v>106</v>
      </c>
      <c r="C101" s="60" t="s">
        <v>636</v>
      </c>
      <c r="D101" s="37" t="s">
        <v>87</v>
      </c>
      <c r="E101" s="38">
        <v>125884620</v>
      </c>
      <c r="F101" s="39">
        <v>125884691</v>
      </c>
      <c r="G101" s="40" t="str">
        <f>HYPERLINK("http://genome.ucsc.edu/cgi-bin/hgTracks?position=chr5:125884470-125884841", "Go2UCSC")</f>
        <v>Go2UCSC</v>
      </c>
      <c r="H101" s="34">
        <v>482.23666666666651</v>
      </c>
      <c r="I101" s="34">
        <v>0</v>
      </c>
      <c r="J101" s="35">
        <v>482.23666666666651</v>
      </c>
      <c r="K101" s="36">
        <v>1</v>
      </c>
      <c r="L101" s="35">
        <v>129.63351254480281</v>
      </c>
      <c r="M101" s="34">
        <v>400.613333333333</v>
      </c>
      <c r="N101" s="34">
        <v>294.08</v>
      </c>
      <c r="O101" s="34">
        <v>519.44000000000005</v>
      </c>
      <c r="P101" s="34">
        <v>714.81333333333305</v>
      </c>
      <c r="Q101" s="34">
        <v>0</v>
      </c>
      <c r="R101" s="34">
        <v>0</v>
      </c>
      <c r="S101" s="34">
        <v>0</v>
      </c>
      <c r="T101" s="34">
        <v>0</v>
      </c>
    </row>
    <row r="102" spans="1:142" ht="25.5" x14ac:dyDescent="0.2">
      <c r="A102" s="19">
        <v>99</v>
      </c>
      <c r="B102" s="37" t="s">
        <v>326</v>
      </c>
      <c r="C102" s="60" t="s">
        <v>637</v>
      </c>
      <c r="D102" s="37" t="s">
        <v>88</v>
      </c>
      <c r="E102" s="38">
        <v>68853887</v>
      </c>
      <c r="F102" s="39">
        <v>68853958</v>
      </c>
      <c r="G102" s="40" t="str">
        <f>HYPERLINK("http://genome.ucsc.edu/cgi-bin/hgTracks?position=chr11:68853737-68854108", "Go2UCSC")</f>
        <v>Go2UCSC</v>
      </c>
      <c r="H102" s="34">
        <v>474.9966666666665</v>
      </c>
      <c r="I102" s="34">
        <v>0</v>
      </c>
      <c r="J102" s="35">
        <v>474.9966666666665</v>
      </c>
      <c r="K102" s="36">
        <v>1</v>
      </c>
      <c r="L102" s="35">
        <v>127.68727598566304</v>
      </c>
      <c r="M102" s="34">
        <v>471.65333333333302</v>
      </c>
      <c r="N102" s="34">
        <v>314.053333333333</v>
      </c>
      <c r="O102" s="34">
        <v>538.93333333333305</v>
      </c>
      <c r="P102" s="34">
        <v>575.34666666666703</v>
      </c>
      <c r="Q102" s="34">
        <v>0</v>
      </c>
      <c r="R102" s="34">
        <v>0</v>
      </c>
      <c r="S102" s="34">
        <v>0</v>
      </c>
      <c r="T102" s="34">
        <v>0</v>
      </c>
    </row>
    <row r="103" spans="1:142" ht="25.5" x14ac:dyDescent="0.2">
      <c r="A103" s="19">
        <v>100</v>
      </c>
      <c r="B103" s="37" t="s">
        <v>107</v>
      </c>
      <c r="C103" s="60" t="s">
        <v>638</v>
      </c>
      <c r="D103" s="37" t="s">
        <v>414</v>
      </c>
      <c r="E103" s="38">
        <v>23538011</v>
      </c>
      <c r="F103" s="39">
        <v>23538083</v>
      </c>
      <c r="G103" s="40" t="str">
        <f>HYPERLINK("http://genome.ucsc.edu/cgi-bin/hgTracks?position=chr13:23537861-23538233", "Go2UCSC")</f>
        <v>Go2UCSC</v>
      </c>
      <c r="H103" s="34">
        <v>470.31000000000029</v>
      </c>
      <c r="I103" s="34">
        <v>1.375</v>
      </c>
      <c r="J103" s="35">
        <v>471.68500000000029</v>
      </c>
      <c r="K103" s="36">
        <v>0.99708491896074714</v>
      </c>
      <c r="L103" s="35">
        <v>126.45710455764083</v>
      </c>
      <c r="M103" s="34">
        <v>408.44</v>
      </c>
      <c r="N103" s="34">
        <v>325.82666666666699</v>
      </c>
      <c r="O103" s="34">
        <v>575.386666666667</v>
      </c>
      <c r="P103" s="34">
        <v>571.58666666666704</v>
      </c>
      <c r="Q103" s="34">
        <v>1.5</v>
      </c>
      <c r="R103" s="34">
        <v>0</v>
      </c>
      <c r="S103" s="34">
        <v>2</v>
      </c>
      <c r="T103" s="34">
        <v>2</v>
      </c>
    </row>
    <row r="104" spans="1:142" ht="25.5" x14ac:dyDescent="0.2">
      <c r="A104" s="19">
        <v>101</v>
      </c>
      <c r="B104" s="37" t="s">
        <v>507</v>
      </c>
      <c r="C104" s="60" t="s">
        <v>639</v>
      </c>
      <c r="D104" s="37" t="s">
        <v>508</v>
      </c>
      <c r="E104" s="38">
        <v>157204042</v>
      </c>
      <c r="F104" s="39">
        <v>157204114</v>
      </c>
      <c r="G104" s="40" t="str">
        <f>HYPERLINK("http://genome.ucsc.edu/cgi-bin/hgTracks?position=chrX:157203892-157204264", "Go2UCSC")</f>
        <v>Go2UCSC</v>
      </c>
      <c r="H104" s="34">
        <v>469.59666666666647</v>
      </c>
      <c r="I104" s="34">
        <v>0.75</v>
      </c>
      <c r="J104" s="35">
        <v>470.34666666666647</v>
      </c>
      <c r="K104" s="36">
        <v>0.99840543145481342</v>
      </c>
      <c r="L104" s="35">
        <v>126.09830205540656</v>
      </c>
      <c r="M104" s="34">
        <v>503.14666666666699</v>
      </c>
      <c r="N104" s="34">
        <v>327.73333333333301</v>
      </c>
      <c r="O104" s="34">
        <v>471.97333333333302</v>
      </c>
      <c r="P104" s="34">
        <v>575.53333333333296</v>
      </c>
      <c r="Q104" s="34">
        <v>1</v>
      </c>
      <c r="R104" s="34">
        <v>1</v>
      </c>
      <c r="S104" s="34">
        <v>0.5</v>
      </c>
      <c r="T104" s="34">
        <v>0.5</v>
      </c>
    </row>
    <row r="105" spans="1:142" ht="25.5" x14ac:dyDescent="0.2">
      <c r="A105" s="19">
        <v>102</v>
      </c>
      <c r="B105" s="41" t="s">
        <v>340</v>
      </c>
      <c r="C105" s="61" t="s">
        <v>640</v>
      </c>
      <c r="D105" s="37" t="s">
        <v>414</v>
      </c>
      <c r="E105" s="38">
        <v>23622217</v>
      </c>
      <c r="F105" s="39">
        <v>23622288</v>
      </c>
      <c r="G105" s="40" t="str">
        <f>HYPERLINK("http://genome.ucsc.edu/cgi-bin/hgTracks?position=chr13:23622067-23622438", "Go2UCSC")</f>
        <v>Go2UCSC</v>
      </c>
      <c r="H105" s="34">
        <v>461.82666666666648</v>
      </c>
      <c r="I105" s="34">
        <v>3.875</v>
      </c>
      <c r="J105" s="35">
        <v>465.70166666666648</v>
      </c>
      <c r="K105" s="36">
        <v>0.99167922239201778</v>
      </c>
      <c r="L105" s="35">
        <v>125.18862007168454</v>
      </c>
      <c r="M105" s="34">
        <v>358.73333333333301</v>
      </c>
      <c r="N105" s="34">
        <v>254.37333333333299</v>
      </c>
      <c r="O105" s="34">
        <v>536.54666666666697</v>
      </c>
      <c r="P105" s="34">
        <v>697.65333333333297</v>
      </c>
      <c r="Q105" s="34">
        <v>4</v>
      </c>
      <c r="R105" s="34">
        <v>4</v>
      </c>
      <c r="S105" s="34">
        <v>4</v>
      </c>
      <c r="T105" s="34">
        <v>3.5</v>
      </c>
    </row>
    <row r="106" spans="1:142" ht="25.5" x14ac:dyDescent="0.2">
      <c r="A106" s="19">
        <v>103</v>
      </c>
      <c r="B106" s="37" t="s">
        <v>333</v>
      </c>
      <c r="C106" s="60" t="s">
        <v>641</v>
      </c>
      <c r="D106" s="37" t="s">
        <v>88</v>
      </c>
      <c r="E106" s="38">
        <v>68938678</v>
      </c>
      <c r="F106" s="39">
        <v>68938750</v>
      </c>
      <c r="G106" s="40" t="str">
        <f>HYPERLINK("http://genome.ucsc.edu/cgi-bin/hgTracks?position=chr11:68938528-68938900", "Go2UCSC")</f>
        <v>Go2UCSC</v>
      </c>
      <c r="H106" s="34">
        <v>453.29333333333352</v>
      </c>
      <c r="I106" s="34">
        <v>11.937499999991676</v>
      </c>
      <c r="J106" s="35">
        <v>465.23083333332522</v>
      </c>
      <c r="K106" s="36">
        <v>0.97434069467309192</v>
      </c>
      <c r="L106" s="35">
        <v>124.72676496871989</v>
      </c>
      <c r="M106" s="34">
        <v>335.86666666666702</v>
      </c>
      <c r="N106" s="34">
        <v>271.98666666666702</v>
      </c>
      <c r="O106" s="34">
        <v>524.29333333333295</v>
      </c>
      <c r="P106" s="34">
        <v>681.02666666666698</v>
      </c>
      <c r="Q106" s="34">
        <v>11.6666666666667</v>
      </c>
      <c r="R106" s="34">
        <v>8.75</v>
      </c>
      <c r="S106" s="34">
        <v>13.25</v>
      </c>
      <c r="T106" s="34">
        <v>14.083333333300001</v>
      </c>
    </row>
    <row r="107" spans="1:142" ht="25.5" x14ac:dyDescent="0.2">
      <c r="A107" s="19">
        <v>104</v>
      </c>
      <c r="B107" s="37" t="s">
        <v>511</v>
      </c>
      <c r="C107" s="60" t="s">
        <v>642</v>
      </c>
      <c r="D107" s="37" t="s">
        <v>414</v>
      </c>
      <c r="E107" s="38">
        <v>23542491</v>
      </c>
      <c r="F107" s="39">
        <v>23542564</v>
      </c>
      <c r="G107" s="40" t="str">
        <f>HYPERLINK("http://genome.ucsc.edu/cgi-bin/hgTracks?position=chr13:23542341-23542714", "Go2UCSC")</f>
        <v>Go2UCSC</v>
      </c>
      <c r="H107" s="34">
        <v>452.39333333333343</v>
      </c>
      <c r="I107" s="34">
        <v>0</v>
      </c>
      <c r="J107" s="35">
        <v>452.39333333333343</v>
      </c>
      <c r="K107" s="36">
        <v>1</v>
      </c>
      <c r="L107" s="35">
        <v>120.96078431372551</v>
      </c>
      <c r="M107" s="34">
        <v>358.74666666666701</v>
      </c>
      <c r="N107" s="34">
        <v>227</v>
      </c>
      <c r="O107" s="34">
        <v>559.14666666666699</v>
      </c>
      <c r="P107" s="34">
        <v>664.68</v>
      </c>
      <c r="Q107" s="34">
        <v>0</v>
      </c>
      <c r="R107" s="34">
        <v>0</v>
      </c>
      <c r="S107" s="34">
        <v>0</v>
      </c>
      <c r="T107" s="34">
        <v>0</v>
      </c>
    </row>
    <row r="108" spans="1:142" ht="25.5" x14ac:dyDescent="0.2">
      <c r="A108" s="19">
        <v>105</v>
      </c>
      <c r="B108" s="37" t="s">
        <v>114</v>
      </c>
      <c r="C108" s="60" t="s">
        <v>643</v>
      </c>
      <c r="D108" s="37" t="s">
        <v>88</v>
      </c>
      <c r="E108" s="38">
        <v>68851355</v>
      </c>
      <c r="F108" s="39">
        <v>68851428</v>
      </c>
      <c r="G108" s="40" t="str">
        <f>HYPERLINK("http://genome.ucsc.edu/cgi-bin/hgTracks?position=chr11:68851208-68851578", "Go2UCSC")</f>
        <v>Go2UCSC</v>
      </c>
      <c r="H108" s="34">
        <v>437.1166666666665</v>
      </c>
      <c r="I108" s="34">
        <v>4</v>
      </c>
      <c r="J108" s="35">
        <v>441.1166666666665</v>
      </c>
      <c r="K108" s="36">
        <v>0.99093210412967092</v>
      </c>
      <c r="L108" s="35">
        <v>118.89937106918235</v>
      </c>
      <c r="M108" s="34">
        <v>487.81333333333299</v>
      </c>
      <c r="N108" s="34">
        <v>320.493333333333</v>
      </c>
      <c r="O108" s="34">
        <v>518.12</v>
      </c>
      <c r="P108" s="34">
        <v>422.04</v>
      </c>
      <c r="Q108" s="34">
        <v>4</v>
      </c>
      <c r="R108" s="34">
        <v>2</v>
      </c>
      <c r="S108" s="34">
        <v>4.5</v>
      </c>
      <c r="T108" s="34">
        <v>5.5</v>
      </c>
    </row>
    <row r="109" spans="1:142" s="4" customFormat="1" ht="25.5" x14ac:dyDescent="0.2">
      <c r="A109" s="19">
        <v>106</v>
      </c>
      <c r="B109" s="37" t="s">
        <v>334</v>
      </c>
      <c r="C109" s="60" t="s">
        <v>644</v>
      </c>
      <c r="D109" s="37" t="s">
        <v>207</v>
      </c>
      <c r="E109" s="38">
        <v>72070107</v>
      </c>
      <c r="F109" s="39">
        <v>72070179</v>
      </c>
      <c r="G109" s="40" t="str">
        <f>HYPERLINK("http://genome.ucsc.edu/cgi-bin/hgTracks?position=chr12:72069957-72070329", "Go2UCSC")</f>
        <v>Go2UCSC</v>
      </c>
      <c r="H109" s="34">
        <v>433.01333333333326</v>
      </c>
      <c r="I109" s="34">
        <v>3.75</v>
      </c>
      <c r="J109" s="35">
        <v>436.76333333333326</v>
      </c>
      <c r="K109" s="36">
        <v>0.99141411443268279</v>
      </c>
      <c r="L109" s="35">
        <v>117.09472743520999</v>
      </c>
      <c r="M109" s="34">
        <v>344.41333333333301</v>
      </c>
      <c r="N109" s="34">
        <v>272.73333333333301</v>
      </c>
      <c r="O109" s="34">
        <v>505.62666666666701</v>
      </c>
      <c r="P109" s="34">
        <v>609.28</v>
      </c>
      <c r="Q109" s="34">
        <v>4.5</v>
      </c>
      <c r="R109" s="34">
        <v>3</v>
      </c>
      <c r="S109" s="34">
        <v>3.5</v>
      </c>
      <c r="T109" s="34">
        <v>4</v>
      </c>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row>
    <row r="110" spans="1:142" ht="25.5" x14ac:dyDescent="0.2">
      <c r="A110" s="19">
        <v>107</v>
      </c>
      <c r="B110" s="37" t="s">
        <v>509</v>
      </c>
      <c r="C110" s="60" t="s">
        <v>645</v>
      </c>
      <c r="D110" s="37" t="s">
        <v>261</v>
      </c>
      <c r="E110" s="38">
        <v>51708325</v>
      </c>
      <c r="F110" s="39">
        <v>51708397</v>
      </c>
      <c r="G110" s="40" t="str">
        <f>HYPERLINK("http://genome.ucsc.edu/cgi-bin/hgTracks?position=chr14:51708175-51708547", "Go2UCSC")</f>
        <v>Go2UCSC</v>
      </c>
      <c r="H110" s="34">
        <v>433.49333333333328</v>
      </c>
      <c r="I110" s="34">
        <v>0</v>
      </c>
      <c r="J110" s="35">
        <v>433.49333333333328</v>
      </c>
      <c r="K110" s="36">
        <v>1</v>
      </c>
      <c r="L110" s="35">
        <v>116.21805183199284</v>
      </c>
      <c r="M110" s="34">
        <v>326.613333333333</v>
      </c>
      <c r="N110" s="34">
        <v>239.45333333333301</v>
      </c>
      <c r="O110" s="34">
        <v>534</v>
      </c>
      <c r="P110" s="34">
        <v>633.90666666666698</v>
      </c>
      <c r="Q110" s="34">
        <v>0</v>
      </c>
      <c r="R110" s="34">
        <v>0</v>
      </c>
      <c r="S110" s="34">
        <v>0</v>
      </c>
      <c r="T110" s="34">
        <v>0</v>
      </c>
    </row>
    <row r="111" spans="1:142" ht="25.5" x14ac:dyDescent="0.2">
      <c r="A111" s="19">
        <v>108</v>
      </c>
      <c r="B111" s="37" t="s">
        <v>105</v>
      </c>
      <c r="C111" s="60" t="s">
        <v>646</v>
      </c>
      <c r="D111" s="37" t="s">
        <v>414</v>
      </c>
      <c r="E111" s="38">
        <v>23524859</v>
      </c>
      <c r="F111" s="39">
        <v>23524946</v>
      </c>
      <c r="G111" s="40" t="str">
        <f>HYPERLINK("http://genome.ucsc.edu/cgi-bin/hgTracks?position=chr13:23524709-23525096", "Go2UCSC")</f>
        <v>Go2UCSC</v>
      </c>
      <c r="H111" s="34">
        <v>450.27000000000021</v>
      </c>
      <c r="I111" s="34">
        <v>0</v>
      </c>
      <c r="J111" s="35">
        <v>450.27000000000021</v>
      </c>
      <c r="K111" s="36">
        <v>1</v>
      </c>
      <c r="L111" s="35">
        <v>116.04896907216501</v>
      </c>
      <c r="M111" s="34">
        <v>423.18666666666701</v>
      </c>
      <c r="N111" s="34">
        <v>298.946666666667</v>
      </c>
      <c r="O111" s="34">
        <v>511.14666666666699</v>
      </c>
      <c r="P111" s="34">
        <v>567.79999999999995</v>
      </c>
      <c r="Q111" s="34">
        <v>0</v>
      </c>
      <c r="R111" s="34">
        <v>0</v>
      </c>
      <c r="S111" s="34">
        <v>0</v>
      </c>
      <c r="T111" s="34">
        <v>0</v>
      </c>
    </row>
    <row r="112" spans="1:142" ht="25.5" x14ac:dyDescent="0.2">
      <c r="A112" s="13">
        <v>109</v>
      </c>
      <c r="B112" s="37" t="s">
        <v>337</v>
      </c>
      <c r="C112" s="60" t="s">
        <v>647</v>
      </c>
      <c r="D112" s="37" t="s">
        <v>255</v>
      </c>
      <c r="E112" s="38">
        <v>97227531</v>
      </c>
      <c r="F112" s="39">
        <v>97227613</v>
      </c>
      <c r="G112" s="40" t="str">
        <f>HYPERLINK("http://genome.ucsc.edu/cgi-bin/hgTracks?position=chr8:97227381-97227758", "Go2UCSC")</f>
        <v>Go2UCSC</v>
      </c>
      <c r="H112" s="34">
        <v>421.38666666666649</v>
      </c>
      <c r="I112" s="34">
        <v>14.677083333325001</v>
      </c>
      <c r="J112" s="35">
        <v>436.0637499999915</v>
      </c>
      <c r="K112" s="36">
        <v>0.96634188617300731</v>
      </c>
      <c r="L112" s="35">
        <v>115.36078042327817</v>
      </c>
      <c r="M112" s="34">
        <v>421.12</v>
      </c>
      <c r="N112" s="34">
        <v>259.33333333333297</v>
      </c>
      <c r="O112" s="34">
        <v>494.53333333333302</v>
      </c>
      <c r="P112" s="34">
        <v>510.56</v>
      </c>
      <c r="Q112" s="34">
        <v>11.5833333333333</v>
      </c>
      <c r="R112" s="34">
        <v>10.7916666666667</v>
      </c>
      <c r="S112" s="34">
        <v>18.458333333300001</v>
      </c>
      <c r="T112" s="34">
        <v>17.875</v>
      </c>
    </row>
    <row r="113" spans="1:20" ht="25.5" x14ac:dyDescent="0.2">
      <c r="A113" s="13">
        <v>110</v>
      </c>
      <c r="B113" s="37" t="s">
        <v>238</v>
      </c>
      <c r="C113" s="60" t="s">
        <v>648</v>
      </c>
      <c r="D113" s="37" t="s">
        <v>414</v>
      </c>
      <c r="E113" s="38">
        <v>21307327</v>
      </c>
      <c r="F113" s="39">
        <v>21307399</v>
      </c>
      <c r="G113" s="40" t="str">
        <f>HYPERLINK("http://genome.ucsc.edu/cgi-bin/hgTracks?position=chr13:21307177-21307549", "Go2UCSC")</f>
        <v>Go2UCSC</v>
      </c>
      <c r="H113" s="34">
        <v>429.19</v>
      </c>
      <c r="I113" s="34">
        <v>0</v>
      </c>
      <c r="J113" s="35">
        <v>429.19</v>
      </c>
      <c r="K113" s="36">
        <v>1</v>
      </c>
      <c r="L113" s="35">
        <v>115.06434316353888</v>
      </c>
      <c r="M113" s="34">
        <v>399.66666666666703</v>
      </c>
      <c r="N113" s="34">
        <v>274.89333333333298</v>
      </c>
      <c r="O113" s="34">
        <v>503.09333333333302</v>
      </c>
      <c r="P113" s="34">
        <v>539.10666666666702</v>
      </c>
      <c r="Q113" s="34">
        <v>0</v>
      </c>
      <c r="R113" s="34">
        <v>0</v>
      </c>
      <c r="S113" s="34">
        <v>0</v>
      </c>
      <c r="T113" s="34">
        <v>0</v>
      </c>
    </row>
    <row r="114" spans="1:20" ht="25.5" x14ac:dyDescent="0.2">
      <c r="A114" s="13">
        <v>111</v>
      </c>
      <c r="B114" s="37" t="s">
        <v>113</v>
      </c>
      <c r="C114" s="60" t="s">
        <v>649</v>
      </c>
      <c r="D114" s="37" t="s">
        <v>179</v>
      </c>
      <c r="E114" s="38">
        <v>86353887</v>
      </c>
      <c r="F114" s="39">
        <v>86353957</v>
      </c>
      <c r="G114" s="40" t="str">
        <f>HYPERLINK("http://genome.ucsc.edu/cgi-bin/hgTracks?position=chr6:86353737-86354107", "Go2UCSC")</f>
        <v>Go2UCSC</v>
      </c>
      <c r="H114" s="34">
        <v>414.60999999999996</v>
      </c>
      <c r="I114" s="34">
        <v>11.496666666666668</v>
      </c>
      <c r="J114" s="35">
        <v>426.10666666666663</v>
      </c>
      <c r="K114" s="36">
        <v>0.9730192752988297</v>
      </c>
      <c r="L114" s="35">
        <v>114.85354896675651</v>
      </c>
      <c r="M114" s="34">
        <v>373.88</v>
      </c>
      <c r="N114" s="34">
        <v>283.64</v>
      </c>
      <c r="O114" s="34">
        <v>451.16</v>
      </c>
      <c r="P114" s="34">
        <v>549.76</v>
      </c>
      <c r="Q114" s="34">
        <v>12.5</v>
      </c>
      <c r="R114" s="34">
        <v>8.4866666666666699</v>
      </c>
      <c r="S114" s="34">
        <v>12</v>
      </c>
      <c r="T114" s="34">
        <v>13</v>
      </c>
    </row>
    <row r="115" spans="1:20" ht="25.5" x14ac:dyDescent="0.2">
      <c r="A115" s="13">
        <v>112</v>
      </c>
      <c r="B115" s="37" t="s">
        <v>336</v>
      </c>
      <c r="C115" s="60" t="s">
        <v>650</v>
      </c>
      <c r="D115" s="37" t="s">
        <v>179</v>
      </c>
      <c r="E115" s="38">
        <v>47928996</v>
      </c>
      <c r="F115" s="39">
        <v>47929067</v>
      </c>
      <c r="G115" s="40" t="str">
        <f>HYPERLINK("http://genome.ucsc.edu/cgi-bin/hgTracks?position=chr6:47928846-47929217", "Go2UCSC")</f>
        <v>Go2UCSC</v>
      </c>
      <c r="H115" s="34">
        <v>425.75666666666677</v>
      </c>
      <c r="I115" s="34">
        <v>0</v>
      </c>
      <c r="J115" s="35">
        <v>425.75666666666677</v>
      </c>
      <c r="K115" s="36">
        <v>1</v>
      </c>
      <c r="L115" s="35">
        <v>114.45071684587816</v>
      </c>
      <c r="M115" s="34">
        <v>341.54666666666702</v>
      </c>
      <c r="N115" s="34">
        <v>223.90666666666701</v>
      </c>
      <c r="O115" s="34">
        <v>488.36</v>
      </c>
      <c r="P115" s="34">
        <v>649.21333333333303</v>
      </c>
      <c r="Q115" s="34">
        <v>0</v>
      </c>
      <c r="R115" s="34">
        <v>0</v>
      </c>
      <c r="S115" s="34">
        <v>0</v>
      </c>
      <c r="T115" s="34">
        <v>0</v>
      </c>
    </row>
    <row r="116" spans="1:20" ht="25.5" x14ac:dyDescent="0.2">
      <c r="A116" s="13">
        <v>113</v>
      </c>
      <c r="B116" s="37" t="s">
        <v>329</v>
      </c>
      <c r="C116" s="60" t="s">
        <v>651</v>
      </c>
      <c r="D116" s="37" t="s">
        <v>414</v>
      </c>
      <c r="E116" s="38">
        <v>22121092</v>
      </c>
      <c r="F116" s="39">
        <v>22121165</v>
      </c>
      <c r="G116" s="40" t="str">
        <f>HYPERLINK("http://genome.ucsc.edu/cgi-bin/hgTracks?position=chr13:22120942-22121315", "Go2UCSC")</f>
        <v>Go2UCSC</v>
      </c>
      <c r="H116" s="34">
        <v>417.41</v>
      </c>
      <c r="I116" s="34">
        <v>9.9374999999916689</v>
      </c>
      <c r="J116" s="35">
        <v>427.34749999999167</v>
      </c>
      <c r="K116" s="36">
        <v>0.97674609071074048</v>
      </c>
      <c r="L116" s="35">
        <v>114.26403743315286</v>
      </c>
      <c r="M116" s="34">
        <v>342.69333333333299</v>
      </c>
      <c r="N116" s="34">
        <v>246.76</v>
      </c>
      <c r="O116" s="34">
        <v>497.98666666666702</v>
      </c>
      <c r="P116" s="34">
        <v>582.20000000000005</v>
      </c>
      <c r="Q116" s="34">
        <v>9.3333333333333393</v>
      </c>
      <c r="R116" s="34">
        <v>5.7083333333333304</v>
      </c>
      <c r="S116" s="34">
        <v>12.458333333300001</v>
      </c>
      <c r="T116" s="34">
        <v>12.25</v>
      </c>
    </row>
    <row r="117" spans="1:20" ht="25.5" x14ac:dyDescent="0.2">
      <c r="A117" s="13">
        <v>114</v>
      </c>
      <c r="B117" s="37" t="s">
        <v>108</v>
      </c>
      <c r="C117" s="60" t="s">
        <v>652</v>
      </c>
      <c r="D117" s="37" t="s">
        <v>88</v>
      </c>
      <c r="E117" s="38">
        <v>68855328</v>
      </c>
      <c r="F117" s="39">
        <v>68855399</v>
      </c>
      <c r="G117" s="40" t="str">
        <f>HYPERLINK("http://genome.ucsc.edu/cgi-bin/hgTracks?position=chr11:68855178-68855549", "Go2UCSC")</f>
        <v>Go2UCSC</v>
      </c>
      <c r="H117" s="34">
        <v>424.51333333333349</v>
      </c>
      <c r="I117" s="34">
        <v>0</v>
      </c>
      <c r="J117" s="35">
        <v>424.51333333333349</v>
      </c>
      <c r="K117" s="36">
        <v>1</v>
      </c>
      <c r="L117" s="35">
        <v>114.11648745519717</v>
      </c>
      <c r="M117" s="34">
        <v>467.33333333333297</v>
      </c>
      <c r="N117" s="34">
        <v>347.26666666666699</v>
      </c>
      <c r="O117" s="34">
        <v>478.386666666667</v>
      </c>
      <c r="P117" s="34">
        <v>405.066666666667</v>
      </c>
      <c r="Q117" s="34">
        <v>0</v>
      </c>
      <c r="R117" s="34">
        <v>0</v>
      </c>
      <c r="S117" s="34">
        <v>0</v>
      </c>
      <c r="T117" s="34">
        <v>0</v>
      </c>
    </row>
    <row r="118" spans="1:20" ht="25.5" x14ac:dyDescent="0.2">
      <c r="A118" s="13">
        <v>115</v>
      </c>
      <c r="B118" s="37" t="s">
        <v>7</v>
      </c>
      <c r="C118" s="60" t="s">
        <v>653</v>
      </c>
      <c r="D118" s="37" t="s">
        <v>85</v>
      </c>
      <c r="E118" s="38">
        <v>57034489</v>
      </c>
      <c r="F118" s="39">
        <v>57034560</v>
      </c>
      <c r="G118" s="40" t="str">
        <f>HYPERLINK("http://genome.ucsc.edu/cgi-bin/hgTracks?position=chr2:57034339-57034682", "Go2UCSC")</f>
        <v>Go2UCSC</v>
      </c>
      <c r="H118" s="34">
        <v>389.85666666666674</v>
      </c>
      <c r="I118" s="34">
        <v>0</v>
      </c>
      <c r="J118" s="35">
        <v>389.85666666666674</v>
      </c>
      <c r="K118" s="36">
        <v>1</v>
      </c>
      <c r="L118" s="35">
        <v>113.33042635658916</v>
      </c>
      <c r="M118" s="34">
        <v>366.18666666666701</v>
      </c>
      <c r="N118" s="34">
        <v>267.933333333333</v>
      </c>
      <c r="O118" s="34">
        <v>435.506666666667</v>
      </c>
      <c r="P118" s="34">
        <v>489.8</v>
      </c>
      <c r="Q118" s="34">
        <v>0</v>
      </c>
      <c r="R118" s="34">
        <v>0</v>
      </c>
      <c r="S118" s="34">
        <v>0</v>
      </c>
      <c r="T118" s="34">
        <v>0</v>
      </c>
    </row>
    <row r="119" spans="1:20" ht="25.5" x14ac:dyDescent="0.2">
      <c r="A119" s="13">
        <v>116</v>
      </c>
      <c r="B119" s="37" t="s">
        <v>36</v>
      </c>
      <c r="C119" s="60" t="s">
        <v>654</v>
      </c>
      <c r="D119" s="37" t="s">
        <v>30</v>
      </c>
      <c r="E119" s="38">
        <v>173041574</v>
      </c>
      <c r="F119" s="39">
        <v>173041646</v>
      </c>
      <c r="G119" s="40" t="str">
        <f>HYPERLINK("http://genome.ucsc.edu/cgi-bin/hgTracks?position=chr1:173041424-173041796", "Go2UCSC")</f>
        <v>Go2UCSC</v>
      </c>
      <c r="H119" s="34">
        <v>421.23000000000025</v>
      </c>
      <c r="I119" s="34">
        <v>1.375</v>
      </c>
      <c r="J119" s="35">
        <v>422.60500000000025</v>
      </c>
      <c r="K119" s="36">
        <v>0.99674637072443539</v>
      </c>
      <c r="L119" s="35">
        <v>113.29892761394107</v>
      </c>
      <c r="M119" s="34">
        <v>412.98666666666702</v>
      </c>
      <c r="N119" s="34">
        <v>261.78666666666697</v>
      </c>
      <c r="O119" s="34">
        <v>478.62666666666701</v>
      </c>
      <c r="P119" s="34">
        <v>531.52</v>
      </c>
      <c r="Q119" s="34">
        <v>1.5</v>
      </c>
      <c r="R119" s="34">
        <v>0</v>
      </c>
      <c r="S119" s="34">
        <v>2</v>
      </c>
      <c r="T119" s="34">
        <v>2</v>
      </c>
    </row>
    <row r="120" spans="1:20" ht="25.5" x14ac:dyDescent="0.2">
      <c r="A120" s="13">
        <v>117</v>
      </c>
      <c r="B120" s="37" t="s">
        <v>37</v>
      </c>
      <c r="C120" s="60" t="s">
        <v>655</v>
      </c>
      <c r="D120" s="37" t="s">
        <v>30</v>
      </c>
      <c r="E120" s="38">
        <v>167572402</v>
      </c>
      <c r="F120" s="39">
        <v>167572473</v>
      </c>
      <c r="G120" s="40" t="str">
        <f>HYPERLINK("http://genome.ucsc.edu/cgi-bin/hgTracks?position=chr1:167572252-167572623", "Go2UCSC")</f>
        <v>Go2UCSC</v>
      </c>
      <c r="H120" s="34">
        <v>409.92</v>
      </c>
      <c r="I120" s="34">
        <v>0</v>
      </c>
      <c r="J120" s="35">
        <v>409.92</v>
      </c>
      <c r="K120" s="36">
        <v>1</v>
      </c>
      <c r="L120" s="35">
        <v>110.19354838709677</v>
      </c>
      <c r="M120" s="34">
        <v>375.24</v>
      </c>
      <c r="N120" s="34">
        <v>271</v>
      </c>
      <c r="O120" s="34">
        <v>479.09333333333302</v>
      </c>
      <c r="P120" s="34">
        <v>514.34666666666703</v>
      </c>
      <c r="Q120" s="34">
        <v>0</v>
      </c>
      <c r="R120" s="34">
        <v>0</v>
      </c>
      <c r="S120" s="34">
        <v>0</v>
      </c>
      <c r="T120" s="34">
        <v>0</v>
      </c>
    </row>
    <row r="121" spans="1:20" ht="25.5" x14ac:dyDescent="0.2">
      <c r="A121" s="13">
        <v>118</v>
      </c>
      <c r="B121" s="37" t="s">
        <v>335</v>
      </c>
      <c r="C121" s="60" t="s">
        <v>656</v>
      </c>
      <c r="D121" s="37" t="s">
        <v>261</v>
      </c>
      <c r="E121" s="38">
        <v>79881475</v>
      </c>
      <c r="F121" s="39">
        <v>79881546</v>
      </c>
      <c r="G121" s="40" t="str">
        <f>HYPERLINK("http://genome.ucsc.edu/cgi-bin/hgTracks?position=chr14:79881325-79881696", "Go2UCSC")</f>
        <v>Go2UCSC</v>
      </c>
      <c r="H121" s="34">
        <v>405.71333333333348</v>
      </c>
      <c r="I121" s="34">
        <v>3.625</v>
      </c>
      <c r="J121" s="35">
        <v>409.33833333333348</v>
      </c>
      <c r="K121" s="36">
        <v>0.99114424498072096</v>
      </c>
      <c r="L121" s="35">
        <v>110.03718637992836</v>
      </c>
      <c r="M121" s="34">
        <v>370.29333333333301</v>
      </c>
      <c r="N121" s="34">
        <v>258.18666666666701</v>
      </c>
      <c r="O121" s="34">
        <v>478.10666666666702</v>
      </c>
      <c r="P121" s="34">
        <v>516.26666666666699</v>
      </c>
      <c r="Q121" s="34">
        <v>3</v>
      </c>
      <c r="R121" s="34">
        <v>3.5</v>
      </c>
      <c r="S121" s="34">
        <v>4</v>
      </c>
      <c r="T121" s="34">
        <v>4</v>
      </c>
    </row>
    <row r="122" spans="1:20" ht="25.5" x14ac:dyDescent="0.2">
      <c r="A122" s="13">
        <v>119</v>
      </c>
      <c r="B122" s="37" t="s">
        <v>512</v>
      </c>
      <c r="C122" s="60" t="s">
        <v>657</v>
      </c>
      <c r="D122" s="37" t="s">
        <v>252</v>
      </c>
      <c r="E122" s="38">
        <v>96301704</v>
      </c>
      <c r="F122" s="39">
        <v>96301777</v>
      </c>
      <c r="G122" s="40" t="str">
        <f>HYPERLINK("http://genome.ucsc.edu/cgi-bin/hgTracks?position=chr3:96301554-96301927", "Go2UCSC")</f>
        <v>Go2UCSC</v>
      </c>
      <c r="H122" s="34">
        <v>400.9366666666665</v>
      </c>
      <c r="I122" s="34">
        <v>5.5</v>
      </c>
      <c r="J122" s="35">
        <v>406.4366666666665</v>
      </c>
      <c r="K122" s="36">
        <v>0.98646775635400352</v>
      </c>
      <c r="L122" s="35">
        <v>108.67290552584666</v>
      </c>
      <c r="M122" s="34">
        <v>378.37333333333299</v>
      </c>
      <c r="N122" s="34">
        <v>247.933333333333</v>
      </c>
      <c r="O122" s="34">
        <v>474.29333333333301</v>
      </c>
      <c r="P122" s="34">
        <v>503.14666666666699</v>
      </c>
      <c r="Q122" s="34">
        <v>6</v>
      </c>
      <c r="R122" s="34">
        <v>4.5</v>
      </c>
      <c r="S122" s="34">
        <v>5</v>
      </c>
      <c r="T122" s="34">
        <v>6.5</v>
      </c>
    </row>
    <row r="123" spans="1:20" ht="25.5" x14ac:dyDescent="0.2">
      <c r="A123" s="13">
        <v>120</v>
      </c>
      <c r="B123" s="37" t="s">
        <v>338</v>
      </c>
      <c r="C123" s="60" t="s">
        <v>658</v>
      </c>
      <c r="D123" s="37" t="s">
        <v>414</v>
      </c>
      <c r="E123" s="38">
        <v>21261556</v>
      </c>
      <c r="F123" s="39">
        <v>21261628</v>
      </c>
      <c r="G123" s="40" t="str">
        <f>HYPERLINK("http://genome.ucsc.edu/cgi-bin/hgTracks?position=chr13:21261406-21261766", "Go2UCSC")</f>
        <v>Go2UCSC</v>
      </c>
      <c r="H123" s="34">
        <v>389.76</v>
      </c>
      <c r="I123" s="34">
        <v>0.875</v>
      </c>
      <c r="J123" s="35">
        <v>390.63499999999999</v>
      </c>
      <c r="K123" s="36">
        <v>0.99776005734253204</v>
      </c>
      <c r="L123" s="35">
        <v>108.20914127423822</v>
      </c>
      <c r="M123" s="34">
        <v>401.386666666667</v>
      </c>
      <c r="N123" s="34">
        <v>274.493333333333</v>
      </c>
      <c r="O123" s="34">
        <v>411.70666666666699</v>
      </c>
      <c r="P123" s="34">
        <v>471.45333333333298</v>
      </c>
      <c r="Q123" s="34">
        <v>1</v>
      </c>
      <c r="R123" s="34">
        <v>1.5</v>
      </c>
      <c r="S123" s="34">
        <v>0</v>
      </c>
      <c r="T123" s="34">
        <v>1</v>
      </c>
    </row>
    <row r="124" spans="1:20" ht="25.5" x14ac:dyDescent="0.2">
      <c r="A124" s="14">
        <v>121</v>
      </c>
      <c r="B124" s="37" t="s">
        <v>126</v>
      </c>
      <c r="C124" s="60" t="s">
        <v>659</v>
      </c>
      <c r="D124" s="37" t="s">
        <v>127</v>
      </c>
      <c r="E124" s="38">
        <v>10801211</v>
      </c>
      <c r="F124" s="39">
        <v>10801292</v>
      </c>
      <c r="G124" s="40" t="str">
        <f>HYPERLINK("http://genome.ucsc.edu/cgi-bin/hgTracks?position=chr4:10801061-10801442", "Go2UCSC")</f>
        <v>Go2UCSC</v>
      </c>
      <c r="H124" s="34">
        <v>396.80333333333351</v>
      </c>
      <c r="I124" s="34">
        <v>9.2894444444277777</v>
      </c>
      <c r="J124" s="35">
        <v>406.09277777776128</v>
      </c>
      <c r="K124" s="36">
        <v>0.97712482232444053</v>
      </c>
      <c r="L124" s="35">
        <v>106.3070098894663</v>
      </c>
      <c r="M124" s="34">
        <v>325.58666666666699</v>
      </c>
      <c r="N124" s="34">
        <v>225.386666666667</v>
      </c>
      <c r="O124" s="34">
        <v>491.506666666667</v>
      </c>
      <c r="P124" s="34">
        <v>544.73333333333301</v>
      </c>
      <c r="Q124" s="34">
        <v>8.9911111111111097</v>
      </c>
      <c r="R124" s="34">
        <v>6.5</v>
      </c>
      <c r="S124" s="34">
        <v>9.8333333333000006</v>
      </c>
      <c r="T124" s="34">
        <v>11.833333333300001</v>
      </c>
    </row>
    <row r="125" spans="1:20" ht="25.5" x14ac:dyDescent="0.2">
      <c r="A125" s="13">
        <v>122</v>
      </c>
      <c r="B125" s="37" t="s">
        <v>25</v>
      </c>
      <c r="C125" s="60" t="s">
        <v>660</v>
      </c>
      <c r="D125" s="37" t="s">
        <v>252</v>
      </c>
      <c r="E125" s="38">
        <v>96303435</v>
      </c>
      <c r="F125" s="39">
        <v>96303507</v>
      </c>
      <c r="G125" s="40" t="str">
        <f>HYPERLINK("http://genome.ucsc.edu/cgi-bin/hgTracks?position=chr3:96303285-96303657", "Go2UCSC")</f>
        <v>Go2UCSC</v>
      </c>
      <c r="H125" s="34">
        <v>394.61</v>
      </c>
      <c r="I125" s="34">
        <v>0</v>
      </c>
      <c r="J125" s="35">
        <v>394.61</v>
      </c>
      <c r="K125" s="36">
        <v>1</v>
      </c>
      <c r="L125" s="35">
        <v>105.79356568364611</v>
      </c>
      <c r="M125" s="34">
        <v>305.2</v>
      </c>
      <c r="N125" s="34">
        <v>266.48</v>
      </c>
      <c r="O125" s="34">
        <v>482.34666666666698</v>
      </c>
      <c r="P125" s="34">
        <v>524.41333333333296</v>
      </c>
      <c r="Q125" s="34">
        <v>0</v>
      </c>
      <c r="R125" s="34">
        <v>0</v>
      </c>
      <c r="S125" s="34">
        <v>0</v>
      </c>
      <c r="T125" s="34">
        <v>0</v>
      </c>
    </row>
    <row r="126" spans="1:20" ht="25.5" x14ac:dyDescent="0.2">
      <c r="A126" s="13">
        <v>123</v>
      </c>
      <c r="B126" s="37" t="s">
        <v>110</v>
      </c>
      <c r="C126" s="60" t="s">
        <v>661</v>
      </c>
      <c r="D126" s="37" t="s">
        <v>261</v>
      </c>
      <c r="E126" s="38">
        <v>51710322</v>
      </c>
      <c r="F126" s="39">
        <v>51710393</v>
      </c>
      <c r="G126" s="40" t="str">
        <f>HYPERLINK("http://genome.ucsc.edu/cgi-bin/hgTracks?position=chr14:51710172-51710543", "Go2UCSC")</f>
        <v>Go2UCSC</v>
      </c>
      <c r="H126" s="34">
        <v>389.43333333333328</v>
      </c>
      <c r="I126" s="34">
        <v>0</v>
      </c>
      <c r="J126" s="35">
        <v>389.43333333333328</v>
      </c>
      <c r="K126" s="36">
        <v>1</v>
      </c>
      <c r="L126" s="35">
        <v>104.6863799283154</v>
      </c>
      <c r="M126" s="34">
        <v>344.88</v>
      </c>
      <c r="N126" s="34">
        <v>250.88</v>
      </c>
      <c r="O126" s="34">
        <v>453.16</v>
      </c>
      <c r="P126" s="34">
        <v>508.81333333333299</v>
      </c>
      <c r="Q126" s="34">
        <v>0</v>
      </c>
      <c r="R126" s="34">
        <v>0</v>
      </c>
      <c r="S126" s="34">
        <v>0</v>
      </c>
      <c r="T126" s="34">
        <v>0</v>
      </c>
    </row>
    <row r="127" spans="1:20" ht="25.5" x14ac:dyDescent="0.2">
      <c r="A127" s="13">
        <v>124</v>
      </c>
      <c r="B127" s="37" t="s">
        <v>131</v>
      </c>
      <c r="C127" s="60" t="s">
        <v>662</v>
      </c>
      <c r="D127" s="37" t="s">
        <v>30</v>
      </c>
      <c r="E127" s="38">
        <v>167571765</v>
      </c>
      <c r="F127" s="39">
        <v>167571836</v>
      </c>
      <c r="G127" s="40" t="str">
        <f>HYPERLINK("http://genome.ucsc.edu/cgi-bin/hgTracks?position=chr1:167571615-167571986", "Go2UCSC")</f>
        <v>Go2UCSC</v>
      </c>
      <c r="H127" s="34">
        <v>375.9000000000002</v>
      </c>
      <c r="I127" s="34">
        <v>2.75</v>
      </c>
      <c r="J127" s="35">
        <v>378.6500000000002</v>
      </c>
      <c r="K127" s="36">
        <v>0.99273735639772875</v>
      </c>
      <c r="L127" s="35">
        <v>101.78763440860222</v>
      </c>
      <c r="M127" s="34">
        <v>325.386666666667</v>
      </c>
      <c r="N127" s="34">
        <v>218.58666666666699</v>
      </c>
      <c r="O127" s="34">
        <v>450.6</v>
      </c>
      <c r="P127" s="34">
        <v>509.02666666666698</v>
      </c>
      <c r="Q127" s="34">
        <v>4</v>
      </c>
      <c r="R127" s="34">
        <v>2</v>
      </c>
      <c r="S127" s="34">
        <v>3</v>
      </c>
      <c r="T127" s="34">
        <v>2</v>
      </c>
    </row>
    <row r="128" spans="1:20" ht="25.5" x14ac:dyDescent="0.2">
      <c r="A128" s="13">
        <v>125</v>
      </c>
      <c r="B128" s="37" t="s">
        <v>23</v>
      </c>
      <c r="C128" s="60" t="s">
        <v>663</v>
      </c>
      <c r="D128" s="37" t="s">
        <v>414</v>
      </c>
      <c r="E128" s="38">
        <v>23558945</v>
      </c>
      <c r="F128" s="39">
        <v>23559034</v>
      </c>
      <c r="G128" s="40" t="str">
        <f>HYPERLINK("http://genome.ucsc.edu/cgi-bin/hgTracks?position=chr13:23558795-23559184", "Go2UCSC")</f>
        <v>Go2UCSC</v>
      </c>
      <c r="H128" s="34">
        <v>395.92000000000024</v>
      </c>
      <c r="I128" s="34">
        <v>0</v>
      </c>
      <c r="J128" s="35">
        <v>395.92000000000024</v>
      </c>
      <c r="K128" s="36">
        <v>1</v>
      </c>
      <c r="L128" s="35">
        <v>101.51794871794877</v>
      </c>
      <c r="M128" s="34">
        <v>327.10666666666702</v>
      </c>
      <c r="N128" s="34">
        <v>240.28</v>
      </c>
      <c r="O128" s="34">
        <v>500.10666666666702</v>
      </c>
      <c r="P128" s="34">
        <v>516.18666666666695</v>
      </c>
      <c r="Q128" s="34">
        <v>0</v>
      </c>
      <c r="R128" s="34">
        <v>0</v>
      </c>
      <c r="S128" s="34">
        <v>0</v>
      </c>
      <c r="T128" s="34">
        <v>0</v>
      </c>
    </row>
    <row r="129" spans="1:20" ht="25.5" x14ac:dyDescent="0.2">
      <c r="A129" s="13">
        <v>126</v>
      </c>
      <c r="B129" s="37" t="s">
        <v>250</v>
      </c>
      <c r="C129" s="60" t="s">
        <v>664</v>
      </c>
      <c r="D129" s="37" t="s">
        <v>204</v>
      </c>
      <c r="E129" s="38">
        <v>23687230</v>
      </c>
      <c r="F129" s="39">
        <v>23687302</v>
      </c>
      <c r="G129" s="40" t="str">
        <f>HYPERLINK("http://genome.ucsc.edu/cgi-bin/hgTracks?position=chr17:23687080-23687452", "Go2UCSC")</f>
        <v>Go2UCSC</v>
      </c>
      <c r="H129" s="34">
        <v>377.79666666666651</v>
      </c>
      <c r="I129" s="34">
        <v>0</v>
      </c>
      <c r="J129" s="35">
        <v>377.79666666666651</v>
      </c>
      <c r="K129" s="36">
        <v>1</v>
      </c>
      <c r="L129" s="35">
        <v>101.28596961572828</v>
      </c>
      <c r="M129" s="34">
        <v>309</v>
      </c>
      <c r="N129" s="34">
        <v>252.52</v>
      </c>
      <c r="O129" s="34">
        <v>434.09333333333302</v>
      </c>
      <c r="P129" s="34">
        <v>515.57333333333304</v>
      </c>
      <c r="Q129" s="34">
        <v>0</v>
      </c>
      <c r="R129" s="34">
        <v>0</v>
      </c>
      <c r="S129" s="34">
        <v>0</v>
      </c>
      <c r="T129" s="34">
        <v>0</v>
      </c>
    </row>
    <row r="130" spans="1:20" ht="25.5" x14ac:dyDescent="0.2">
      <c r="A130" s="13">
        <v>127</v>
      </c>
      <c r="B130" s="37" t="s">
        <v>236</v>
      </c>
      <c r="C130" s="60" t="s">
        <v>665</v>
      </c>
      <c r="D130" s="37" t="s">
        <v>54</v>
      </c>
      <c r="E130" s="38">
        <v>12080529</v>
      </c>
      <c r="F130" s="39">
        <v>12080601</v>
      </c>
      <c r="G130" s="40" t="str">
        <f>HYPERLINK("http://genome.ucsc.edu/cgi-bin/hgTracks?position=chr19:12080379-12080751", "Go2UCSC")</f>
        <v>Go2UCSC</v>
      </c>
      <c r="H130" s="34">
        <v>372.3133333333335</v>
      </c>
      <c r="I130" s="34">
        <v>3.4374999999916653</v>
      </c>
      <c r="J130" s="35">
        <v>375.75083333332515</v>
      </c>
      <c r="K130" s="36">
        <v>0.99085165036229672</v>
      </c>
      <c r="L130" s="35">
        <v>100.73748882930968</v>
      </c>
      <c r="M130" s="34">
        <v>331.26666666666699</v>
      </c>
      <c r="N130" s="34">
        <v>232.02666666666701</v>
      </c>
      <c r="O130" s="34">
        <v>436.14666666666699</v>
      </c>
      <c r="P130" s="34">
        <v>489.81333333333299</v>
      </c>
      <c r="Q130" s="34">
        <v>3.8333333333333299</v>
      </c>
      <c r="R130" s="34">
        <v>2.0833333333333299</v>
      </c>
      <c r="S130" s="34">
        <v>3.75</v>
      </c>
      <c r="T130" s="34">
        <v>4.0833333332999997</v>
      </c>
    </row>
    <row r="131" spans="1:20" ht="25.5" x14ac:dyDescent="0.2">
      <c r="A131" s="13">
        <v>128</v>
      </c>
      <c r="B131" s="37" t="s">
        <v>35</v>
      </c>
      <c r="C131" s="60" t="s">
        <v>666</v>
      </c>
      <c r="D131" s="37" t="s">
        <v>414</v>
      </c>
      <c r="E131" s="38">
        <v>23618325</v>
      </c>
      <c r="F131" s="39">
        <v>23618397</v>
      </c>
      <c r="G131" s="40" t="str">
        <f>HYPERLINK("http://genome.ucsc.edu/cgi-bin/hgTracks?position=chr13:23618175-23618547", "Go2UCSC")</f>
        <v>Go2UCSC</v>
      </c>
      <c r="H131" s="34">
        <v>367.95333333333349</v>
      </c>
      <c r="I131" s="34">
        <v>0</v>
      </c>
      <c r="J131" s="35">
        <v>367.95333333333349</v>
      </c>
      <c r="K131" s="36">
        <v>1</v>
      </c>
      <c r="L131" s="35">
        <v>98.647006255585396</v>
      </c>
      <c r="M131" s="34">
        <v>327.46666666666698</v>
      </c>
      <c r="N131" s="34">
        <v>224.52</v>
      </c>
      <c r="O131" s="34">
        <v>449.52</v>
      </c>
      <c r="P131" s="34">
        <v>470.30666666666701</v>
      </c>
      <c r="Q131" s="34">
        <v>0</v>
      </c>
      <c r="R131" s="34">
        <v>0</v>
      </c>
      <c r="S131" s="34">
        <v>0</v>
      </c>
      <c r="T131" s="34">
        <v>0</v>
      </c>
    </row>
    <row r="132" spans="1:20" ht="25.5" x14ac:dyDescent="0.2">
      <c r="A132" s="13">
        <v>129</v>
      </c>
      <c r="B132" s="37" t="s">
        <v>130</v>
      </c>
      <c r="C132" s="60" t="s">
        <v>667</v>
      </c>
      <c r="D132" s="37" t="s">
        <v>88</v>
      </c>
      <c r="E132" s="38">
        <v>97658386</v>
      </c>
      <c r="F132" s="39">
        <v>97658457</v>
      </c>
      <c r="G132" s="40" t="str">
        <f>HYPERLINK("http://genome.ucsc.edu/cgi-bin/hgTracks?position=chr11:97658236-97658607", "Go2UCSC")</f>
        <v>Go2UCSC</v>
      </c>
      <c r="H132" s="34">
        <v>353.62333333333345</v>
      </c>
      <c r="I132" s="34">
        <v>2.875</v>
      </c>
      <c r="J132" s="35">
        <v>356.49833333333345</v>
      </c>
      <c r="K132" s="36">
        <v>0.99193544616851881</v>
      </c>
      <c r="L132" s="35">
        <v>95.832885304659527</v>
      </c>
      <c r="M132" s="34">
        <v>268.54666666666702</v>
      </c>
      <c r="N132" s="34">
        <v>162.28</v>
      </c>
      <c r="O132" s="34">
        <v>442.98666666666702</v>
      </c>
      <c r="P132" s="34">
        <v>540.67999999999995</v>
      </c>
      <c r="Q132" s="34">
        <v>3</v>
      </c>
      <c r="R132" s="34">
        <v>1.5</v>
      </c>
      <c r="S132" s="34">
        <v>3</v>
      </c>
      <c r="T132" s="34">
        <v>4</v>
      </c>
    </row>
    <row r="133" spans="1:20" ht="25.5" x14ac:dyDescent="0.2">
      <c r="A133" s="13">
        <v>130</v>
      </c>
      <c r="B133" s="37" t="s">
        <v>112</v>
      </c>
      <c r="C133" s="60" t="s">
        <v>668</v>
      </c>
      <c r="D133" s="37" t="s">
        <v>414</v>
      </c>
      <c r="E133" s="38">
        <v>22142555</v>
      </c>
      <c r="F133" s="39">
        <v>22142636</v>
      </c>
      <c r="G133" s="40" t="str">
        <f>HYPERLINK("http://genome.ucsc.edu/cgi-bin/hgTracks?position=chr13:22142405-22142786", "Go2UCSC")</f>
        <v>Go2UCSC</v>
      </c>
      <c r="H133" s="34">
        <v>345.36</v>
      </c>
      <c r="I133" s="34">
        <v>15.583333333341674</v>
      </c>
      <c r="J133" s="35">
        <v>360.94333333334168</v>
      </c>
      <c r="K133" s="36">
        <v>0.95682609458546219</v>
      </c>
      <c r="L133" s="35">
        <v>94.487783595115616</v>
      </c>
      <c r="M133" s="34">
        <v>357.8</v>
      </c>
      <c r="N133" s="34">
        <v>247.8</v>
      </c>
      <c r="O133" s="34">
        <v>417.74666666666701</v>
      </c>
      <c r="P133" s="34">
        <v>358.09333333333302</v>
      </c>
      <c r="Q133" s="34">
        <v>16</v>
      </c>
      <c r="R133" s="34">
        <v>13.1666666666667</v>
      </c>
      <c r="S133" s="34">
        <v>17</v>
      </c>
      <c r="T133" s="34">
        <v>16.166666666699999</v>
      </c>
    </row>
    <row r="134" spans="1:20" ht="25.5" x14ac:dyDescent="0.2">
      <c r="A134" s="13">
        <v>131</v>
      </c>
      <c r="B134" s="37" t="s">
        <v>8</v>
      </c>
      <c r="C134" s="60" t="s">
        <v>669</v>
      </c>
      <c r="D134" s="37" t="s">
        <v>414</v>
      </c>
      <c r="E134" s="38">
        <v>23610015</v>
      </c>
      <c r="F134" s="39">
        <v>23610096</v>
      </c>
      <c r="G134" s="40" t="str">
        <f>HYPERLINK("http://genome.ucsc.edu/cgi-bin/hgTracks?position=chr13:23609865-23610246", "Go2UCSC")</f>
        <v>Go2UCSC</v>
      </c>
      <c r="H134" s="34">
        <v>351.6933333333335</v>
      </c>
      <c r="I134" s="34">
        <v>6.125</v>
      </c>
      <c r="J134" s="35">
        <v>357.8183333333335</v>
      </c>
      <c r="K134" s="36">
        <v>0.98288237513449561</v>
      </c>
      <c r="L134" s="35">
        <v>93.66972076788835</v>
      </c>
      <c r="M134" s="34">
        <v>360.01333333333298</v>
      </c>
      <c r="N134" s="34">
        <v>230.54666666666699</v>
      </c>
      <c r="O134" s="34">
        <v>407.86666666666702</v>
      </c>
      <c r="P134" s="34">
        <v>408.34666666666698</v>
      </c>
      <c r="Q134" s="34">
        <v>8.5</v>
      </c>
      <c r="R134" s="34">
        <v>3.5</v>
      </c>
      <c r="S134" s="34">
        <v>6</v>
      </c>
      <c r="T134" s="34">
        <v>6.5</v>
      </c>
    </row>
    <row r="135" spans="1:20" ht="25.5" x14ac:dyDescent="0.2">
      <c r="A135" s="13">
        <v>132</v>
      </c>
      <c r="B135" s="37" t="s">
        <v>24</v>
      </c>
      <c r="C135" s="60" t="s">
        <v>670</v>
      </c>
      <c r="D135" s="37" t="s">
        <v>54</v>
      </c>
      <c r="E135" s="38">
        <v>12086078</v>
      </c>
      <c r="F135" s="39">
        <v>12086163</v>
      </c>
      <c r="G135" s="40" t="str">
        <f>HYPERLINK("http://genome.ucsc.edu/cgi-bin/hgTracks?position=chr19:12085928-12086291", "Go2UCSC")</f>
        <v>Go2UCSC</v>
      </c>
      <c r="H135" s="34">
        <v>338.34333333333348</v>
      </c>
      <c r="I135" s="34">
        <v>0</v>
      </c>
      <c r="J135" s="35">
        <v>338.34333333333348</v>
      </c>
      <c r="K135" s="36">
        <v>1</v>
      </c>
      <c r="L135" s="35">
        <v>92.951465201465254</v>
      </c>
      <c r="M135" s="34">
        <v>381.21333333333303</v>
      </c>
      <c r="N135" s="34">
        <v>223.14666666666699</v>
      </c>
      <c r="O135" s="34">
        <v>378.18666666666701</v>
      </c>
      <c r="P135" s="34">
        <v>370.82666666666699</v>
      </c>
      <c r="Q135" s="34">
        <v>0</v>
      </c>
      <c r="R135" s="34">
        <v>0</v>
      </c>
      <c r="S135" s="34">
        <v>0</v>
      </c>
      <c r="T135" s="34">
        <v>0</v>
      </c>
    </row>
    <row r="136" spans="1:20" ht="25.5" x14ac:dyDescent="0.2">
      <c r="A136" s="14">
        <v>133</v>
      </c>
      <c r="B136" s="37" t="s">
        <v>417</v>
      </c>
      <c r="C136" s="60" t="s">
        <v>671</v>
      </c>
      <c r="D136" s="37" t="s">
        <v>257</v>
      </c>
      <c r="E136" s="38">
        <v>90021347</v>
      </c>
      <c r="F136" s="39">
        <v>90021419</v>
      </c>
      <c r="G136" s="40" t="str">
        <f>HYPERLINK("http://genome.ucsc.edu/cgi-bin/hgTracks?position=chr9:90021197-90021569", "Go2UCSC")</f>
        <v>Go2UCSC</v>
      </c>
      <c r="H136" s="34">
        <v>341.46</v>
      </c>
      <c r="I136" s="34">
        <v>3.75</v>
      </c>
      <c r="J136" s="35">
        <v>345.21</v>
      </c>
      <c r="K136" s="36">
        <v>0.98913704701486049</v>
      </c>
      <c r="L136" s="35">
        <v>92.549597855227887</v>
      </c>
      <c r="M136" s="34">
        <v>241.68</v>
      </c>
      <c r="N136" s="34">
        <v>178.36</v>
      </c>
      <c r="O136" s="34">
        <v>412.22666666666697</v>
      </c>
      <c r="P136" s="34">
        <v>533.57333333333304</v>
      </c>
      <c r="Q136" s="34">
        <v>4.5</v>
      </c>
      <c r="R136" s="34">
        <v>3</v>
      </c>
      <c r="S136" s="34">
        <v>3.5</v>
      </c>
      <c r="T136" s="34">
        <v>4</v>
      </c>
    </row>
    <row r="137" spans="1:20" ht="25.5" x14ac:dyDescent="0.2">
      <c r="A137" s="13">
        <v>134</v>
      </c>
      <c r="B137" s="37" t="s">
        <v>407</v>
      </c>
      <c r="C137" s="60" t="s">
        <v>672</v>
      </c>
      <c r="D137" s="37" t="s">
        <v>88</v>
      </c>
      <c r="E137" s="38">
        <v>68876246</v>
      </c>
      <c r="F137" s="39">
        <v>68876319</v>
      </c>
      <c r="G137" s="40" t="str">
        <f>HYPERLINK("http://genome.ucsc.edu/cgi-bin/hgTracks?position=chr11:68876096-68876431", "Go2UCSC")</f>
        <v>Go2UCSC</v>
      </c>
      <c r="H137" s="34">
        <v>306.34666666666675</v>
      </c>
      <c r="I137" s="34">
        <v>4</v>
      </c>
      <c r="J137" s="35">
        <v>310.34666666666675</v>
      </c>
      <c r="K137" s="36">
        <v>0.9871111874892593</v>
      </c>
      <c r="L137" s="35">
        <v>92.365079365079396</v>
      </c>
      <c r="M137" s="34">
        <v>243.98666666666699</v>
      </c>
      <c r="N137" s="34">
        <v>163.73333333333301</v>
      </c>
      <c r="O137" s="34">
        <v>378.70666666666699</v>
      </c>
      <c r="P137" s="34">
        <v>438.96</v>
      </c>
      <c r="Q137" s="34">
        <v>4</v>
      </c>
      <c r="R137" s="34">
        <v>2</v>
      </c>
      <c r="S137" s="34">
        <v>4.5</v>
      </c>
      <c r="T137" s="34">
        <v>5.5</v>
      </c>
    </row>
    <row r="138" spans="1:20" ht="25.5" x14ac:dyDescent="0.2">
      <c r="A138" s="13">
        <v>135</v>
      </c>
      <c r="B138" s="37" t="s">
        <v>38</v>
      </c>
      <c r="C138" s="60" t="s">
        <v>673</v>
      </c>
      <c r="D138" s="37" t="s">
        <v>423</v>
      </c>
      <c r="E138" s="38">
        <v>90644157</v>
      </c>
      <c r="F138" s="39">
        <v>90644228</v>
      </c>
      <c r="G138" s="40" t="str">
        <f>HYPERLINK("http://genome.ucsc.edu/cgi-bin/hgTracks?position=chr10:90644007-90644378", "Go2UCSC")</f>
        <v>Go2UCSC</v>
      </c>
      <c r="H138" s="34">
        <v>342.09333333333353</v>
      </c>
      <c r="I138" s="34">
        <v>0</v>
      </c>
      <c r="J138" s="35">
        <v>342.09333333333353</v>
      </c>
      <c r="K138" s="36">
        <v>1</v>
      </c>
      <c r="L138" s="35">
        <v>91.96057347670255</v>
      </c>
      <c r="M138" s="34">
        <v>289.54666666666702</v>
      </c>
      <c r="N138" s="34">
        <v>272.53333333333302</v>
      </c>
      <c r="O138" s="34">
        <v>405.10666666666702</v>
      </c>
      <c r="P138" s="34">
        <v>401.18666666666701</v>
      </c>
      <c r="Q138" s="34">
        <v>0</v>
      </c>
      <c r="R138" s="34">
        <v>0</v>
      </c>
      <c r="S138" s="34">
        <v>0</v>
      </c>
      <c r="T138" s="34">
        <v>0</v>
      </c>
    </row>
    <row r="139" spans="1:20" ht="25.5" x14ac:dyDescent="0.2">
      <c r="A139" s="13">
        <v>136</v>
      </c>
      <c r="B139" s="37" t="s">
        <v>183</v>
      </c>
      <c r="C139" s="60" t="s">
        <v>674</v>
      </c>
      <c r="D139" s="37" t="s">
        <v>414</v>
      </c>
      <c r="E139" s="38">
        <v>23613739</v>
      </c>
      <c r="F139" s="39">
        <v>23613820</v>
      </c>
      <c r="G139" s="40" t="str">
        <f>HYPERLINK("http://genome.ucsc.edu/cgi-bin/hgTracks?position=chr13:23613589-23613970", "Go2UCSC")</f>
        <v>Go2UCSC</v>
      </c>
      <c r="H139" s="34">
        <v>333.67666666666651</v>
      </c>
      <c r="I139" s="34">
        <v>17.583333333341674</v>
      </c>
      <c r="J139" s="35">
        <v>351.26000000000818</v>
      </c>
      <c r="K139" s="36">
        <v>0.94994211315452581</v>
      </c>
      <c r="L139" s="35">
        <v>91.952879581153965</v>
      </c>
      <c r="M139" s="34">
        <v>231.36</v>
      </c>
      <c r="N139" s="34">
        <v>160.493333333333</v>
      </c>
      <c r="O139" s="34">
        <v>395.85333333333301</v>
      </c>
      <c r="P139" s="34">
        <v>547</v>
      </c>
      <c r="Q139" s="34">
        <v>18</v>
      </c>
      <c r="R139" s="34">
        <v>15.1666666666667</v>
      </c>
      <c r="S139" s="34">
        <v>19</v>
      </c>
      <c r="T139" s="34">
        <v>18.166666666699999</v>
      </c>
    </row>
    <row r="140" spans="1:20" ht="25.5" x14ac:dyDescent="0.2">
      <c r="A140" s="13">
        <v>137</v>
      </c>
      <c r="B140" s="37" t="s">
        <v>163</v>
      </c>
      <c r="C140" s="60" t="s">
        <v>675</v>
      </c>
      <c r="D140" s="37" t="s">
        <v>414</v>
      </c>
      <c r="E140" s="38">
        <v>21262075</v>
      </c>
      <c r="F140" s="39">
        <v>21262156</v>
      </c>
      <c r="G140" s="40" t="str">
        <f>HYPERLINK("http://genome.ucsc.edu/cgi-bin/hgTracks?position=chr13:21262031-21262306", "Go2UCSC")</f>
        <v>Go2UCSC</v>
      </c>
      <c r="H140" s="34">
        <v>249.18666666666678</v>
      </c>
      <c r="I140" s="34">
        <v>1.25</v>
      </c>
      <c r="J140" s="35">
        <v>250.43666666666678</v>
      </c>
      <c r="K140" s="36">
        <v>0.99500871810570868</v>
      </c>
      <c r="L140" s="35">
        <v>90.737922705314048</v>
      </c>
      <c r="M140" s="34">
        <v>198.506666666667</v>
      </c>
      <c r="N140" s="34">
        <v>147.37333333333299</v>
      </c>
      <c r="O140" s="34">
        <v>270.946666666667</v>
      </c>
      <c r="P140" s="34">
        <v>379.92</v>
      </c>
      <c r="Q140" s="34">
        <v>0</v>
      </c>
      <c r="R140" s="34">
        <v>1</v>
      </c>
      <c r="S140" s="34">
        <v>2</v>
      </c>
      <c r="T140" s="34">
        <v>2</v>
      </c>
    </row>
    <row r="141" spans="1:20" ht="25.5" x14ac:dyDescent="0.2">
      <c r="A141" s="13">
        <v>138</v>
      </c>
      <c r="B141" s="37" t="s">
        <v>235</v>
      </c>
      <c r="C141" s="60" t="s">
        <v>676</v>
      </c>
      <c r="D141" s="37" t="s">
        <v>414</v>
      </c>
      <c r="E141" s="38">
        <v>22032188</v>
      </c>
      <c r="F141" s="39">
        <v>22032259</v>
      </c>
      <c r="G141" s="40" t="str">
        <f>HYPERLINK("http://genome.ucsc.edu/cgi-bin/hgTracks?position=chr13:22032038-22032409", "Go2UCSC")</f>
        <v>Go2UCSC</v>
      </c>
      <c r="H141" s="34">
        <v>329.92333333333323</v>
      </c>
      <c r="I141" s="34">
        <v>0</v>
      </c>
      <c r="J141" s="35">
        <v>329.92333333333323</v>
      </c>
      <c r="K141" s="36">
        <v>1</v>
      </c>
      <c r="L141" s="35">
        <v>88.689068100358384</v>
      </c>
      <c r="M141" s="34">
        <v>366.34666666666698</v>
      </c>
      <c r="N141" s="34">
        <v>251.25333333333299</v>
      </c>
      <c r="O141" s="34">
        <v>348.16</v>
      </c>
      <c r="P141" s="34">
        <v>353.933333333333</v>
      </c>
      <c r="Q141" s="34">
        <v>0</v>
      </c>
      <c r="R141" s="34">
        <v>0</v>
      </c>
      <c r="S141" s="34">
        <v>0</v>
      </c>
      <c r="T141" s="34">
        <v>0</v>
      </c>
    </row>
    <row r="142" spans="1:20" ht="25.5" x14ac:dyDescent="0.2">
      <c r="A142" s="13">
        <v>139</v>
      </c>
      <c r="B142" s="37" t="s">
        <v>26</v>
      </c>
      <c r="C142" s="60" t="s">
        <v>677</v>
      </c>
      <c r="D142" s="37" t="s">
        <v>252</v>
      </c>
      <c r="E142" s="38">
        <v>19527959</v>
      </c>
      <c r="F142" s="39">
        <v>19528031</v>
      </c>
      <c r="G142" s="40" t="str">
        <f>HYPERLINK("http://genome.ucsc.edu/cgi-bin/hgTracks?position=chr3:19527809-19528181", "Go2UCSC")</f>
        <v>Go2UCSC</v>
      </c>
      <c r="H142" s="34">
        <v>330.8066666666665</v>
      </c>
      <c r="I142" s="34">
        <v>0</v>
      </c>
      <c r="J142" s="35">
        <v>330.8066666666665</v>
      </c>
      <c r="K142" s="36">
        <v>1</v>
      </c>
      <c r="L142" s="35">
        <v>88.688114387846241</v>
      </c>
      <c r="M142" s="34">
        <v>273.613333333333</v>
      </c>
      <c r="N142" s="34">
        <v>202.72</v>
      </c>
      <c r="O142" s="34">
        <v>387.65333333333302</v>
      </c>
      <c r="P142" s="34">
        <v>459.24</v>
      </c>
      <c r="Q142" s="34">
        <v>0</v>
      </c>
      <c r="R142" s="34">
        <v>0</v>
      </c>
      <c r="S142" s="34">
        <v>0</v>
      </c>
      <c r="T142" s="34">
        <v>0</v>
      </c>
    </row>
    <row r="143" spans="1:20" ht="25.5" x14ac:dyDescent="0.2">
      <c r="A143" s="13">
        <v>140</v>
      </c>
      <c r="B143" s="37" t="s">
        <v>111</v>
      </c>
      <c r="C143" s="60" t="s">
        <v>678</v>
      </c>
      <c r="D143" s="37" t="s">
        <v>414</v>
      </c>
      <c r="E143" s="38">
        <v>22114288</v>
      </c>
      <c r="F143" s="39">
        <v>22114369</v>
      </c>
      <c r="G143" s="40" t="str">
        <f>HYPERLINK("http://genome.ucsc.edu/cgi-bin/hgTracks?position=chr13:22114138-22114519", "Go2UCSC")</f>
        <v>Go2UCSC</v>
      </c>
      <c r="H143" s="34">
        <v>334.66666666666674</v>
      </c>
      <c r="I143" s="34">
        <v>0</v>
      </c>
      <c r="J143" s="35">
        <v>334.66666666666674</v>
      </c>
      <c r="K143" s="36">
        <v>1</v>
      </c>
      <c r="L143" s="35">
        <v>87.609075043630028</v>
      </c>
      <c r="M143" s="34">
        <v>218.2</v>
      </c>
      <c r="N143" s="34">
        <v>181.85333333333301</v>
      </c>
      <c r="O143" s="34">
        <v>410.02666666666698</v>
      </c>
      <c r="P143" s="34">
        <v>528.58666666666704</v>
      </c>
      <c r="Q143" s="34">
        <v>0</v>
      </c>
      <c r="R143" s="34">
        <v>0</v>
      </c>
      <c r="S143" s="34">
        <v>0</v>
      </c>
      <c r="T143" s="34">
        <v>0</v>
      </c>
    </row>
    <row r="144" spans="1:20" ht="25.5" x14ac:dyDescent="0.2">
      <c r="A144" s="13">
        <v>141</v>
      </c>
      <c r="B144" s="37" t="s">
        <v>132</v>
      </c>
      <c r="C144" s="60" t="s">
        <v>679</v>
      </c>
      <c r="D144" s="37" t="s">
        <v>414</v>
      </c>
      <c r="E144" s="38">
        <v>22113013</v>
      </c>
      <c r="F144" s="39">
        <v>22113085</v>
      </c>
      <c r="G144" s="40" t="str">
        <f>HYPERLINK("http://genome.ucsc.edu/cgi-bin/hgTracks?position=chr13:22112863-22113235", "Go2UCSC")</f>
        <v>Go2UCSC</v>
      </c>
      <c r="H144" s="34">
        <v>321.86333333333323</v>
      </c>
      <c r="I144" s="34">
        <v>3.375</v>
      </c>
      <c r="J144" s="35">
        <v>325.23833333333323</v>
      </c>
      <c r="K144" s="36">
        <v>0.98962299441947699</v>
      </c>
      <c r="L144" s="35">
        <v>87.195263628239474</v>
      </c>
      <c r="M144" s="34">
        <v>260.32</v>
      </c>
      <c r="N144" s="34">
        <v>209.13333333333301</v>
      </c>
      <c r="O144" s="34">
        <v>376.01333333333298</v>
      </c>
      <c r="P144" s="34">
        <v>441.98666666666702</v>
      </c>
      <c r="Q144" s="34">
        <v>4</v>
      </c>
      <c r="R144" s="34">
        <v>2.5</v>
      </c>
      <c r="S144" s="34">
        <v>4</v>
      </c>
      <c r="T144" s="34">
        <v>3</v>
      </c>
    </row>
    <row r="145" spans="1:142" ht="25.5" x14ac:dyDescent="0.2">
      <c r="A145" s="13">
        <v>142</v>
      </c>
      <c r="B145" s="37" t="s">
        <v>418</v>
      </c>
      <c r="C145" s="60" t="s">
        <v>680</v>
      </c>
      <c r="D145" s="37" t="s">
        <v>204</v>
      </c>
      <c r="E145" s="38">
        <v>23684327</v>
      </c>
      <c r="F145" s="39">
        <v>23684399</v>
      </c>
      <c r="G145" s="40" t="str">
        <f>HYPERLINK("http://genome.ucsc.edu/cgi-bin/hgTracks?position=chr17:23684177-23684549", "Go2UCSC")</f>
        <v>Go2UCSC</v>
      </c>
      <c r="H145" s="34">
        <v>322.71000000000004</v>
      </c>
      <c r="I145" s="34">
        <v>1.25</v>
      </c>
      <c r="J145" s="35">
        <v>323.96000000000004</v>
      </c>
      <c r="K145" s="36">
        <v>0.99614149895048776</v>
      </c>
      <c r="L145" s="35">
        <v>86.852546916890091</v>
      </c>
      <c r="M145" s="34">
        <v>338.77333333333303</v>
      </c>
      <c r="N145" s="34">
        <v>162.62666666666701</v>
      </c>
      <c r="O145" s="34">
        <v>340.34666666666698</v>
      </c>
      <c r="P145" s="34">
        <v>449.09333333333302</v>
      </c>
      <c r="Q145" s="34">
        <v>2</v>
      </c>
      <c r="R145" s="34">
        <v>0</v>
      </c>
      <c r="S145" s="34">
        <v>1.3333333333000001</v>
      </c>
      <c r="T145" s="34">
        <v>1.6666666667000001</v>
      </c>
    </row>
    <row r="146" spans="1:142" ht="25.5" x14ac:dyDescent="0.2">
      <c r="A146" s="13">
        <v>143</v>
      </c>
      <c r="B146" s="37" t="s">
        <v>243</v>
      </c>
      <c r="C146" s="60" t="s">
        <v>681</v>
      </c>
      <c r="D146" s="37" t="s">
        <v>88</v>
      </c>
      <c r="E146" s="38">
        <v>48669782</v>
      </c>
      <c r="F146" s="39">
        <v>48669853</v>
      </c>
      <c r="G146" s="40" t="str">
        <f>HYPERLINK("http://genome.ucsc.edu/cgi-bin/hgTracks?position=chr11:48669632-48669995", "Go2UCSC")</f>
        <v>Go2UCSC</v>
      </c>
      <c r="H146" s="34">
        <v>313.60999999999979</v>
      </c>
      <c r="I146" s="34">
        <v>0</v>
      </c>
      <c r="J146" s="35">
        <v>313.60999999999979</v>
      </c>
      <c r="K146" s="36">
        <v>1</v>
      </c>
      <c r="L146" s="35">
        <v>86.156593406593345</v>
      </c>
      <c r="M146" s="34">
        <v>286.73333333333301</v>
      </c>
      <c r="N146" s="34">
        <v>176.76</v>
      </c>
      <c r="O146" s="34">
        <v>356.73333333333301</v>
      </c>
      <c r="P146" s="34">
        <v>434.21333333333303</v>
      </c>
      <c r="Q146" s="34">
        <v>0</v>
      </c>
      <c r="R146" s="34">
        <v>0</v>
      </c>
      <c r="S146" s="34">
        <v>0</v>
      </c>
      <c r="T146" s="34">
        <v>0</v>
      </c>
    </row>
    <row r="147" spans="1:142" ht="25.5" x14ac:dyDescent="0.2">
      <c r="A147" s="13">
        <v>144</v>
      </c>
      <c r="B147" s="37" t="s">
        <v>419</v>
      </c>
      <c r="C147" s="60" t="s">
        <v>682</v>
      </c>
      <c r="D147" s="37" t="s">
        <v>423</v>
      </c>
      <c r="E147" s="38">
        <v>30530946</v>
      </c>
      <c r="F147" s="39">
        <v>30531017</v>
      </c>
      <c r="G147" s="40" t="str">
        <f>HYPERLINK("http://genome.ucsc.edu/cgi-bin/hgTracks?position=chr10:30530796-30531167", "Go2UCSC")</f>
        <v>Go2UCSC</v>
      </c>
      <c r="H147" s="34">
        <v>316.41333333333324</v>
      </c>
      <c r="I147" s="34">
        <v>0.875</v>
      </c>
      <c r="J147" s="35">
        <v>317.28833333333324</v>
      </c>
      <c r="K147" s="36">
        <v>0.99724225599218375</v>
      </c>
      <c r="L147" s="35">
        <v>85.292562724014317</v>
      </c>
      <c r="M147" s="34">
        <v>262.25333333333299</v>
      </c>
      <c r="N147" s="34">
        <v>164.85333333333301</v>
      </c>
      <c r="O147" s="34">
        <v>378.386666666667</v>
      </c>
      <c r="P147" s="34">
        <v>460.16</v>
      </c>
      <c r="Q147" s="34">
        <v>0.5</v>
      </c>
      <c r="R147" s="34">
        <v>0.5</v>
      </c>
      <c r="S147" s="34">
        <v>1.25</v>
      </c>
      <c r="T147" s="34">
        <v>1.25</v>
      </c>
    </row>
    <row r="148" spans="1:142" ht="25.5" x14ac:dyDescent="0.2">
      <c r="A148" s="13">
        <v>145</v>
      </c>
      <c r="B148" s="37" t="s">
        <v>128</v>
      </c>
      <c r="C148" s="60" t="s">
        <v>683</v>
      </c>
      <c r="D148" s="37" t="s">
        <v>54</v>
      </c>
      <c r="E148" s="38">
        <v>12084186</v>
      </c>
      <c r="F148" s="39">
        <v>12084258</v>
      </c>
      <c r="G148" s="40" t="str">
        <f>HYPERLINK("http://genome.ucsc.edu/cgi-bin/hgTracks?position=chr19:12084036-12084408", "Go2UCSC")</f>
        <v>Go2UCSC</v>
      </c>
      <c r="H148" s="34">
        <v>304.42666666666673</v>
      </c>
      <c r="I148" s="34">
        <v>7.875</v>
      </c>
      <c r="J148" s="35">
        <v>312.30166666666673</v>
      </c>
      <c r="K148" s="36">
        <v>0.97478399624294887</v>
      </c>
      <c r="L148" s="35">
        <v>83.726988382484379</v>
      </c>
      <c r="M148" s="34">
        <v>218.56</v>
      </c>
      <c r="N148" s="34">
        <v>145.12</v>
      </c>
      <c r="O148" s="34">
        <v>371.74666666666701</v>
      </c>
      <c r="P148" s="34">
        <v>482.28</v>
      </c>
      <c r="Q148" s="34">
        <v>7.5833333333333304</v>
      </c>
      <c r="R148" s="34">
        <v>6.1666666666666696</v>
      </c>
      <c r="S148" s="34">
        <v>9</v>
      </c>
      <c r="T148" s="34">
        <v>8.75</v>
      </c>
    </row>
    <row r="149" spans="1:142" ht="25.5" x14ac:dyDescent="0.2">
      <c r="A149" s="13">
        <v>146</v>
      </c>
      <c r="B149" s="37" t="s">
        <v>129</v>
      </c>
      <c r="C149" s="60" t="s">
        <v>684</v>
      </c>
      <c r="D149" s="37" t="s">
        <v>259</v>
      </c>
      <c r="E149" s="38">
        <v>128061031</v>
      </c>
      <c r="F149" s="39">
        <v>128061112</v>
      </c>
      <c r="G149" s="40" t="str">
        <f>HYPERLINK("http://genome.ucsc.edu/cgi-bin/hgTracks?position=chr7:128060881-128061262", "Go2UCSC")</f>
        <v>Go2UCSC</v>
      </c>
      <c r="H149" s="34">
        <v>309.74666666666678</v>
      </c>
      <c r="I149" s="34">
        <v>4.9375</v>
      </c>
      <c r="J149" s="35">
        <v>314.68416666666678</v>
      </c>
      <c r="K149" s="36">
        <v>0.98430966498155559</v>
      </c>
      <c r="L149" s="35">
        <v>82.378054101221679</v>
      </c>
      <c r="M149" s="34">
        <v>258.34666666666698</v>
      </c>
      <c r="N149" s="34">
        <v>193.46666666666701</v>
      </c>
      <c r="O149" s="34">
        <v>385.77333333333303</v>
      </c>
      <c r="P149" s="34">
        <v>401.4</v>
      </c>
      <c r="Q149" s="34">
        <v>2.75</v>
      </c>
      <c r="R149" s="34">
        <v>4.25</v>
      </c>
      <c r="S149" s="34">
        <v>6.5</v>
      </c>
      <c r="T149" s="34">
        <v>6.25</v>
      </c>
    </row>
    <row r="150" spans="1:142" ht="25.5" x14ac:dyDescent="0.2">
      <c r="A150" s="13">
        <v>147</v>
      </c>
      <c r="B150" s="37" t="s">
        <v>249</v>
      </c>
      <c r="C150" s="60" t="s">
        <v>685</v>
      </c>
      <c r="D150" s="37" t="s">
        <v>252</v>
      </c>
      <c r="E150" s="38">
        <v>96304289</v>
      </c>
      <c r="F150" s="39">
        <v>96304360</v>
      </c>
      <c r="G150" s="40" t="str">
        <f>HYPERLINK("http://genome.ucsc.edu/cgi-bin/hgTracks?position=chr3:96304139-96304510", "Go2UCSC")</f>
        <v>Go2UCSC</v>
      </c>
      <c r="H150" s="34">
        <v>294.46333333333348</v>
      </c>
      <c r="I150" s="34">
        <v>6.5833333333250001</v>
      </c>
      <c r="J150" s="35">
        <v>301.0466666666585</v>
      </c>
      <c r="K150" s="36">
        <v>0.97813185109730982</v>
      </c>
      <c r="L150" s="35">
        <v>80.926523297488842</v>
      </c>
      <c r="M150" s="34">
        <v>254.26666666666699</v>
      </c>
      <c r="N150" s="34">
        <v>200.88</v>
      </c>
      <c r="O150" s="34">
        <v>359.86666666666702</v>
      </c>
      <c r="P150" s="34">
        <v>362.84</v>
      </c>
      <c r="Q150" s="34">
        <v>4.9166666666666696</v>
      </c>
      <c r="R150" s="34">
        <v>5.9583333333333304</v>
      </c>
      <c r="S150" s="34">
        <v>8.2083333333000006</v>
      </c>
      <c r="T150" s="34">
        <v>7.25</v>
      </c>
    </row>
    <row r="151" spans="1:142" s="4" customFormat="1" ht="25.5" x14ac:dyDescent="0.2">
      <c r="A151" s="13">
        <v>148</v>
      </c>
      <c r="B151" s="40" t="s">
        <v>224</v>
      </c>
      <c r="C151" s="62" t="s">
        <v>686</v>
      </c>
      <c r="D151" s="40" t="s">
        <v>30</v>
      </c>
      <c r="E151" s="38">
        <v>172994830</v>
      </c>
      <c r="F151" s="38">
        <v>172994901</v>
      </c>
      <c r="G151" s="40" t="str">
        <f>HYPERLINK("http://genome.ucsc.edu/cgi-bin/hgTracks?position=chr1:172994680-172995051", "Go2UCSC")</f>
        <v>Go2UCSC</v>
      </c>
      <c r="H151" s="35">
        <v>121.74666666666667</v>
      </c>
      <c r="I151" s="35">
        <v>169.70777777777499</v>
      </c>
      <c r="J151" s="35">
        <v>291.45444444444166</v>
      </c>
      <c r="K151" s="43">
        <v>0.41772108467494845</v>
      </c>
      <c r="L151" s="35">
        <v>78.347968936677859</v>
      </c>
      <c r="M151" s="35">
        <v>83.12</v>
      </c>
      <c r="N151" s="35">
        <v>62.706666666666699</v>
      </c>
      <c r="O151" s="35">
        <v>178.16</v>
      </c>
      <c r="P151" s="35">
        <v>163</v>
      </c>
      <c r="Q151" s="35">
        <v>154.773333333333</v>
      </c>
      <c r="R151" s="35">
        <v>119.98666666666701</v>
      </c>
      <c r="S151" s="35">
        <v>222.0444444444</v>
      </c>
      <c r="T151" s="35">
        <v>182.02666666670001</v>
      </c>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row>
    <row r="152" spans="1:142" ht="25.5" x14ac:dyDescent="0.2">
      <c r="A152" s="13">
        <v>149</v>
      </c>
      <c r="B152" s="37" t="s">
        <v>246</v>
      </c>
      <c r="C152" s="60" t="s">
        <v>687</v>
      </c>
      <c r="D152" s="37" t="s">
        <v>414</v>
      </c>
      <c r="E152" s="38">
        <v>23609072</v>
      </c>
      <c r="F152" s="39">
        <v>23609142</v>
      </c>
      <c r="G152" s="40" t="str">
        <f>HYPERLINK("http://genome.ucsc.edu/cgi-bin/hgTracks?position=chr13:23608922-23609292", "Go2UCSC")</f>
        <v>Go2UCSC</v>
      </c>
      <c r="H152" s="34">
        <v>284.8666666666665</v>
      </c>
      <c r="I152" s="34">
        <v>0</v>
      </c>
      <c r="J152" s="35">
        <v>284.8666666666665</v>
      </c>
      <c r="K152" s="36">
        <v>1</v>
      </c>
      <c r="L152" s="35">
        <v>76.783468104222777</v>
      </c>
      <c r="M152" s="34">
        <v>251.893333333333</v>
      </c>
      <c r="N152" s="34">
        <v>174.32</v>
      </c>
      <c r="O152" s="34">
        <v>312.21333333333303</v>
      </c>
      <c r="P152" s="34">
        <v>401.04</v>
      </c>
      <c r="Q152" s="34">
        <v>0</v>
      </c>
      <c r="R152" s="34">
        <v>0</v>
      </c>
      <c r="S152" s="34">
        <v>0</v>
      </c>
      <c r="T152" s="34">
        <v>0</v>
      </c>
    </row>
    <row r="153" spans="1:142" ht="25.5" x14ac:dyDescent="0.2">
      <c r="A153" s="13">
        <v>150</v>
      </c>
      <c r="B153" s="37" t="s">
        <v>272</v>
      </c>
      <c r="C153" s="60" t="s">
        <v>688</v>
      </c>
      <c r="D153" s="37" t="s">
        <v>414</v>
      </c>
      <c r="E153" s="38">
        <v>21259944</v>
      </c>
      <c r="F153" s="39">
        <v>21260016</v>
      </c>
      <c r="G153" s="40" t="str">
        <f>HYPERLINK("http://genome.ucsc.edu/cgi-bin/hgTracks?position=chr13:21259794-21260166", "Go2UCSC")</f>
        <v>Go2UCSC</v>
      </c>
      <c r="H153" s="34">
        <v>280.01666666666654</v>
      </c>
      <c r="I153" s="34">
        <v>4.6874999999916671</v>
      </c>
      <c r="J153" s="35">
        <v>284.70416666665818</v>
      </c>
      <c r="K153" s="36">
        <v>0.98353554127825626</v>
      </c>
      <c r="L153" s="35">
        <v>76.32819481679843</v>
      </c>
      <c r="M153" s="34">
        <v>199.85333333333301</v>
      </c>
      <c r="N153" s="34">
        <v>158.56</v>
      </c>
      <c r="O153" s="34">
        <v>301.17333333333301</v>
      </c>
      <c r="P153" s="34">
        <v>460.48</v>
      </c>
      <c r="Q153" s="34">
        <v>5.1666666666666696</v>
      </c>
      <c r="R153" s="34">
        <v>2.75</v>
      </c>
      <c r="S153" s="34">
        <v>5.75</v>
      </c>
      <c r="T153" s="34">
        <v>5.0833333332999997</v>
      </c>
    </row>
    <row r="154" spans="1:142" s="4" customFormat="1" ht="25.5" x14ac:dyDescent="0.2">
      <c r="A154" s="13">
        <v>151</v>
      </c>
      <c r="B154" s="37" t="s">
        <v>237</v>
      </c>
      <c r="C154" s="60" t="s">
        <v>689</v>
      </c>
      <c r="D154" s="37" t="s">
        <v>414</v>
      </c>
      <c r="E154" s="38">
        <v>22107660</v>
      </c>
      <c r="F154" s="39">
        <v>22107732</v>
      </c>
      <c r="G154" s="40" t="str">
        <f>HYPERLINK("http://genome.ucsc.edu/cgi-bin/hgTracks?position=chr13:22107510-22107882", "Go2UCSC")</f>
        <v>Go2UCSC</v>
      </c>
      <c r="H154" s="34">
        <v>279.63999999999976</v>
      </c>
      <c r="I154" s="34">
        <v>6.8749999991666672E-2</v>
      </c>
      <c r="J154" s="35">
        <v>279.70874999999143</v>
      </c>
      <c r="K154" s="36">
        <v>0.99975420861881625</v>
      </c>
      <c r="L154" s="35">
        <v>74.98894101876445</v>
      </c>
      <c r="M154" s="34">
        <v>313.53333333333302</v>
      </c>
      <c r="N154" s="34">
        <v>155.053333333333</v>
      </c>
      <c r="O154" s="34">
        <v>289.37333333333299</v>
      </c>
      <c r="P154" s="34">
        <v>360.6</v>
      </c>
      <c r="Q154" s="34">
        <v>8.6666666666666697E-2</v>
      </c>
      <c r="R154" s="34">
        <v>0.02</v>
      </c>
      <c r="S154" s="34">
        <v>0.1083333333</v>
      </c>
      <c r="T154" s="34">
        <v>0.06</v>
      </c>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row>
    <row r="155" spans="1:142" ht="25.5" x14ac:dyDescent="0.2">
      <c r="A155" s="13">
        <v>152</v>
      </c>
      <c r="B155" s="37" t="s">
        <v>248</v>
      </c>
      <c r="C155" s="60" t="s">
        <v>690</v>
      </c>
      <c r="D155" s="37" t="s">
        <v>414</v>
      </c>
      <c r="E155" s="38">
        <v>23598388</v>
      </c>
      <c r="F155" s="39">
        <v>23598459</v>
      </c>
      <c r="G155" s="40" t="str">
        <f>HYPERLINK("http://genome.ucsc.edu/cgi-bin/hgTracks?position=chr13:23598238-23598609", "Go2UCSC")</f>
        <v>Go2UCSC</v>
      </c>
      <c r="H155" s="34">
        <v>276.63666666666649</v>
      </c>
      <c r="I155" s="34">
        <v>0</v>
      </c>
      <c r="J155" s="35">
        <v>276.63666666666649</v>
      </c>
      <c r="K155" s="36">
        <v>1</v>
      </c>
      <c r="L155" s="35">
        <v>74.36469534050174</v>
      </c>
      <c r="M155" s="34">
        <v>237.01333333333301</v>
      </c>
      <c r="N155" s="34">
        <v>154.25333333333299</v>
      </c>
      <c r="O155" s="34">
        <v>364.29333333333301</v>
      </c>
      <c r="P155" s="34">
        <v>350.98666666666702</v>
      </c>
      <c r="Q155" s="34">
        <v>0</v>
      </c>
      <c r="R155" s="34">
        <v>0</v>
      </c>
      <c r="S155" s="34">
        <v>0</v>
      </c>
      <c r="T155" s="34">
        <v>0</v>
      </c>
    </row>
    <row r="156" spans="1:142" ht="25.5" x14ac:dyDescent="0.2">
      <c r="A156" s="13">
        <v>153</v>
      </c>
      <c r="B156" s="44" t="s">
        <v>247</v>
      </c>
      <c r="C156" s="63" t="s">
        <v>691</v>
      </c>
      <c r="D156" s="37" t="s">
        <v>259</v>
      </c>
      <c r="E156" s="38">
        <v>19886593</v>
      </c>
      <c r="F156" s="39">
        <v>19886678</v>
      </c>
      <c r="G156" s="40" t="str">
        <f>HYPERLINK("http://genome.ucsc.edu/cgi-bin/hgTracks?position=chr7:19886443-19886828", "Go2UCSC")</f>
        <v>Go2UCSC</v>
      </c>
      <c r="H156" s="34">
        <v>282.70666666666648</v>
      </c>
      <c r="I156" s="34">
        <v>0</v>
      </c>
      <c r="J156" s="35">
        <v>282.70666666666648</v>
      </c>
      <c r="K156" s="36">
        <v>1</v>
      </c>
      <c r="L156" s="35">
        <v>73.24006908462863</v>
      </c>
      <c r="M156" s="34">
        <v>273.85333333333301</v>
      </c>
      <c r="N156" s="34">
        <v>188.6</v>
      </c>
      <c r="O156" s="34">
        <v>343.41333333333301</v>
      </c>
      <c r="P156" s="34">
        <v>324.95999999999998</v>
      </c>
      <c r="Q156" s="34">
        <v>0</v>
      </c>
      <c r="R156" s="34">
        <v>0</v>
      </c>
      <c r="S156" s="34">
        <v>0</v>
      </c>
      <c r="T156" s="34">
        <v>0</v>
      </c>
    </row>
    <row r="157" spans="1:142" ht="25.5" x14ac:dyDescent="0.2">
      <c r="A157" s="13">
        <v>154</v>
      </c>
      <c r="B157" s="37" t="s">
        <v>428</v>
      </c>
      <c r="C157" s="60" t="s">
        <v>692</v>
      </c>
      <c r="D157" s="37" t="s">
        <v>30</v>
      </c>
      <c r="E157" s="38">
        <v>134930539</v>
      </c>
      <c r="F157" s="39">
        <v>134930611</v>
      </c>
      <c r="G157" s="40" t="str">
        <f>HYPERLINK("http://genome.ucsc.edu/cgi-bin/hgTracks?position=chr1:134930389-134930757", "Go2UCSC")</f>
        <v>Go2UCSC</v>
      </c>
      <c r="H157" s="34">
        <v>257.85333333333301</v>
      </c>
      <c r="I157" s="34">
        <v>3.0625</v>
      </c>
      <c r="J157" s="35">
        <v>260.91583333333301</v>
      </c>
      <c r="K157" s="36">
        <v>0.98826249844298453</v>
      </c>
      <c r="L157" s="35">
        <v>70.70889792231246</v>
      </c>
      <c r="M157" s="34">
        <v>260.53333333333302</v>
      </c>
      <c r="N157" s="34">
        <v>144.053333333333</v>
      </c>
      <c r="O157" s="34">
        <v>271.17333333333301</v>
      </c>
      <c r="P157" s="34">
        <v>355.65333333333302</v>
      </c>
      <c r="Q157" s="34">
        <v>2.75</v>
      </c>
      <c r="R157" s="34">
        <v>2.25</v>
      </c>
      <c r="S157" s="34">
        <v>3.25</v>
      </c>
      <c r="T157" s="34">
        <v>4</v>
      </c>
    </row>
    <row r="158" spans="1:142" ht="25.5" x14ac:dyDescent="0.2">
      <c r="A158" s="13">
        <v>155</v>
      </c>
      <c r="B158" s="37" t="s">
        <v>226</v>
      </c>
      <c r="C158" s="60" t="s">
        <v>693</v>
      </c>
      <c r="D158" s="37" t="s">
        <v>414</v>
      </c>
      <c r="E158" s="38">
        <v>21264220</v>
      </c>
      <c r="F158" s="39">
        <v>21264291</v>
      </c>
      <c r="G158" s="40" t="str">
        <f>HYPERLINK("http://genome.ucsc.edu/cgi-bin/hgTracks?position=chr13:21264070-21264441", "Go2UCSC")</f>
        <v>Go2UCSC</v>
      </c>
      <c r="H158" s="34">
        <v>260.56666666666678</v>
      </c>
      <c r="I158" s="34">
        <v>0</v>
      </c>
      <c r="J158" s="35">
        <v>260.56666666666678</v>
      </c>
      <c r="K158" s="36">
        <v>1</v>
      </c>
      <c r="L158" s="35">
        <v>70.044802867383538</v>
      </c>
      <c r="M158" s="34">
        <v>194.226666666667</v>
      </c>
      <c r="N158" s="34">
        <v>163.34666666666701</v>
      </c>
      <c r="O158" s="34">
        <v>318.37333333333299</v>
      </c>
      <c r="P158" s="34">
        <v>366.32</v>
      </c>
      <c r="Q158" s="34">
        <v>0</v>
      </c>
      <c r="R158" s="34">
        <v>0</v>
      </c>
      <c r="S158" s="34">
        <v>0</v>
      </c>
      <c r="T158" s="34">
        <v>0</v>
      </c>
    </row>
    <row r="159" spans="1:142" ht="25.5" x14ac:dyDescent="0.2">
      <c r="A159" s="13">
        <v>156</v>
      </c>
      <c r="B159" s="37" t="s">
        <v>420</v>
      </c>
      <c r="C159" s="60" t="s">
        <v>694</v>
      </c>
      <c r="D159" s="37" t="s">
        <v>414</v>
      </c>
      <c r="E159" s="38">
        <v>21947189</v>
      </c>
      <c r="F159" s="39">
        <v>21947262</v>
      </c>
      <c r="G159" s="40" t="str">
        <f>HYPERLINK("http://genome.ucsc.edu/cgi-bin/hgTracks?position=chr13:21947039-21947412", "Go2UCSC")</f>
        <v>Go2UCSC</v>
      </c>
      <c r="H159" s="34">
        <v>253.70333333333349</v>
      </c>
      <c r="I159" s="34">
        <v>7.1874999999916653</v>
      </c>
      <c r="J159" s="35">
        <v>260.89083333332513</v>
      </c>
      <c r="K159" s="36">
        <v>0.97245016274370744</v>
      </c>
      <c r="L159" s="35">
        <v>69.756907308375702</v>
      </c>
      <c r="M159" s="34">
        <v>220.386666666667</v>
      </c>
      <c r="N159" s="34">
        <v>128.12</v>
      </c>
      <c r="O159" s="34">
        <v>355.72</v>
      </c>
      <c r="P159" s="34">
        <v>310.58666666666699</v>
      </c>
      <c r="Q159" s="34">
        <v>6.8333333333333304</v>
      </c>
      <c r="R159" s="34">
        <v>4.7083333333333304</v>
      </c>
      <c r="S159" s="34">
        <v>8.4583333333000006</v>
      </c>
      <c r="T159" s="34">
        <v>8.75</v>
      </c>
    </row>
    <row r="160" spans="1:142" ht="25.5" x14ac:dyDescent="0.2">
      <c r="A160" s="13">
        <v>157</v>
      </c>
      <c r="B160" s="37" t="s">
        <v>429</v>
      </c>
      <c r="C160" s="60" t="s">
        <v>695</v>
      </c>
      <c r="D160" s="37" t="s">
        <v>414</v>
      </c>
      <c r="E160" s="38">
        <v>22118417</v>
      </c>
      <c r="F160" s="39">
        <v>22118489</v>
      </c>
      <c r="G160" s="40" t="str">
        <f>HYPERLINK("http://genome.ucsc.edu/cgi-bin/hgTracks?position=chr13:22118267-22118639", "Go2UCSC")</f>
        <v>Go2UCSC</v>
      </c>
      <c r="H160" s="34">
        <v>257.5566666666665</v>
      </c>
      <c r="I160" s="34">
        <v>0</v>
      </c>
      <c r="J160" s="35">
        <v>257.5566666666665</v>
      </c>
      <c r="K160" s="36">
        <v>1</v>
      </c>
      <c r="L160" s="35">
        <v>69.050044682752414</v>
      </c>
      <c r="M160" s="34">
        <v>231.386666666667</v>
      </c>
      <c r="N160" s="34">
        <v>159.45333333333301</v>
      </c>
      <c r="O160" s="34">
        <v>315.25333333333299</v>
      </c>
      <c r="P160" s="34">
        <v>324.13333333333298</v>
      </c>
      <c r="Q160" s="34">
        <v>0</v>
      </c>
      <c r="R160" s="34">
        <v>0</v>
      </c>
      <c r="S160" s="34">
        <v>0</v>
      </c>
      <c r="T160" s="34">
        <v>0</v>
      </c>
    </row>
    <row r="161" spans="1:142" ht="25.5" x14ac:dyDescent="0.2">
      <c r="A161" s="13">
        <v>158</v>
      </c>
      <c r="B161" s="37" t="s">
        <v>245</v>
      </c>
      <c r="C161" s="60" t="s">
        <v>696</v>
      </c>
      <c r="D161" s="37" t="s">
        <v>54</v>
      </c>
      <c r="E161" s="38">
        <v>12076726</v>
      </c>
      <c r="F161" s="39">
        <v>12076798</v>
      </c>
      <c r="G161" s="40" t="str">
        <f>HYPERLINK("http://genome.ucsc.edu/cgi-bin/hgTracks?position=chr19:12076576-12076948", "Go2UCSC")</f>
        <v>Go2UCSC</v>
      </c>
      <c r="H161" s="34">
        <v>252.18</v>
      </c>
      <c r="I161" s="34">
        <v>0.875</v>
      </c>
      <c r="J161" s="35">
        <v>253.05500000000001</v>
      </c>
      <c r="K161" s="36">
        <v>0.99654225366027149</v>
      </c>
      <c r="L161" s="35">
        <v>67.843163538873995</v>
      </c>
      <c r="M161" s="34">
        <v>207.72</v>
      </c>
      <c r="N161" s="34">
        <v>139.96</v>
      </c>
      <c r="O161" s="34">
        <v>283.77333333333303</v>
      </c>
      <c r="P161" s="34">
        <v>377.26666666666699</v>
      </c>
      <c r="Q161" s="34">
        <v>0</v>
      </c>
      <c r="R161" s="34">
        <v>0.5</v>
      </c>
      <c r="S161" s="34">
        <v>2</v>
      </c>
      <c r="T161" s="34">
        <v>1</v>
      </c>
    </row>
    <row r="162" spans="1:142" ht="25.5" x14ac:dyDescent="0.2">
      <c r="A162" s="13">
        <v>159</v>
      </c>
      <c r="B162" s="37" t="s">
        <v>164</v>
      </c>
      <c r="C162" s="60" t="s">
        <v>697</v>
      </c>
      <c r="D162" s="37" t="s">
        <v>414</v>
      </c>
      <c r="E162" s="38">
        <v>21261905</v>
      </c>
      <c r="F162" s="39">
        <v>21261986</v>
      </c>
      <c r="G162" s="40" t="str">
        <f>HYPERLINK("http://genome.ucsc.edu/cgi-bin/hgTracks?position=chr13:21261767-21262030", "Go2UCSC")</f>
        <v>Go2UCSC</v>
      </c>
      <c r="H162" s="34">
        <v>165.5333333333335</v>
      </c>
      <c r="I162" s="34">
        <v>12.437500000008333</v>
      </c>
      <c r="J162" s="35">
        <v>177.97083333334183</v>
      </c>
      <c r="K162" s="36">
        <v>0.93011495329286498</v>
      </c>
      <c r="L162" s="35">
        <v>67.413194444447669</v>
      </c>
      <c r="M162" s="34">
        <v>172.16</v>
      </c>
      <c r="N162" s="34">
        <v>169.86666666666699</v>
      </c>
      <c r="O162" s="34">
        <v>156</v>
      </c>
      <c r="P162" s="34">
        <v>164.106666666667</v>
      </c>
      <c r="Q162" s="34">
        <v>10.75</v>
      </c>
      <c r="R162" s="34">
        <v>8.5833333333333304</v>
      </c>
      <c r="S162" s="34">
        <v>15.166666666699999</v>
      </c>
      <c r="T162" s="34">
        <v>15.25</v>
      </c>
    </row>
    <row r="163" spans="1:142" ht="25.5" x14ac:dyDescent="0.2">
      <c r="A163" s="13">
        <v>160</v>
      </c>
      <c r="B163" s="37" t="s">
        <v>415</v>
      </c>
      <c r="C163" s="60" t="s">
        <v>698</v>
      </c>
      <c r="D163" s="37" t="s">
        <v>87</v>
      </c>
      <c r="E163" s="38">
        <v>125885977</v>
      </c>
      <c r="F163" s="39">
        <v>125886048</v>
      </c>
      <c r="G163" s="40" t="str">
        <f>HYPERLINK("http://genome.ucsc.edu/cgi-bin/hgTracks?position=chr5:125885827-125886198", "Go2UCSC")</f>
        <v>Go2UCSC</v>
      </c>
      <c r="H163" s="34">
        <v>248.86666666666673</v>
      </c>
      <c r="I163" s="34">
        <v>0.25</v>
      </c>
      <c r="J163" s="35">
        <v>249.11666666666673</v>
      </c>
      <c r="K163" s="36">
        <v>0.99899645413795413</v>
      </c>
      <c r="L163" s="35">
        <v>66.966845878136212</v>
      </c>
      <c r="M163" s="34">
        <v>293</v>
      </c>
      <c r="N163" s="34">
        <v>183.053333333333</v>
      </c>
      <c r="O163" s="34">
        <v>253.34666666666701</v>
      </c>
      <c r="P163" s="34">
        <v>266.066666666667</v>
      </c>
      <c r="Q163" s="34">
        <v>0</v>
      </c>
      <c r="R163" s="34">
        <v>0</v>
      </c>
      <c r="S163" s="34">
        <v>1</v>
      </c>
      <c r="T163" s="34">
        <v>0</v>
      </c>
    </row>
    <row r="164" spans="1:142" ht="25.5" x14ac:dyDescent="0.2">
      <c r="A164" s="13">
        <v>161</v>
      </c>
      <c r="B164" s="40" t="s">
        <v>502</v>
      </c>
      <c r="C164" s="62" t="s">
        <v>699</v>
      </c>
      <c r="D164" s="40" t="s">
        <v>30</v>
      </c>
      <c r="E164" s="38">
        <v>172994295</v>
      </c>
      <c r="F164" s="38">
        <v>172994366</v>
      </c>
      <c r="G164" s="40" t="str">
        <f>HYPERLINK("http://genome.ucsc.edu/cgi-bin/hgTracks?position=chr1:172994145-172994516", "Go2UCSC")</f>
        <v>Go2UCSC</v>
      </c>
      <c r="H164" s="35">
        <v>39.116666666666674</v>
      </c>
      <c r="I164" s="35">
        <v>205.0422222222</v>
      </c>
      <c r="J164" s="35">
        <v>244.15888888886667</v>
      </c>
      <c r="K164" s="43">
        <v>0.160209881543454</v>
      </c>
      <c r="L164" s="35">
        <v>65.634109916362007</v>
      </c>
      <c r="M164" s="35">
        <v>38.386666666666699</v>
      </c>
      <c r="N164" s="35">
        <v>12.893333333333301</v>
      </c>
      <c r="O164" s="35">
        <v>62.946666666666701</v>
      </c>
      <c r="P164" s="35">
        <v>42.24</v>
      </c>
      <c r="Q164" s="35">
        <v>188.95333333333301</v>
      </c>
      <c r="R164" s="35">
        <v>164.64666666666699</v>
      </c>
      <c r="S164" s="35">
        <v>255.2944444444</v>
      </c>
      <c r="T164" s="35">
        <v>211.27444444439999</v>
      </c>
    </row>
    <row r="165" spans="1:142" ht="25.5" x14ac:dyDescent="0.2">
      <c r="A165" s="13">
        <v>162</v>
      </c>
      <c r="B165" s="37" t="s">
        <v>422</v>
      </c>
      <c r="C165" s="60" t="s">
        <v>700</v>
      </c>
      <c r="D165" s="37" t="s">
        <v>414</v>
      </c>
      <c r="E165" s="38">
        <v>23611482</v>
      </c>
      <c r="F165" s="39">
        <v>23611553</v>
      </c>
      <c r="G165" s="40" t="str">
        <f>HYPERLINK("http://genome.ucsc.edu/cgi-bin/hgTracks?position=chr13:23611332-23611703", "Go2UCSC")</f>
        <v>Go2UCSC</v>
      </c>
      <c r="H165" s="34">
        <v>241.316666666667</v>
      </c>
      <c r="I165" s="34">
        <v>0</v>
      </c>
      <c r="J165" s="35">
        <v>241.316666666667</v>
      </c>
      <c r="K165" s="36">
        <v>1</v>
      </c>
      <c r="L165" s="35">
        <v>64.870071684587899</v>
      </c>
      <c r="M165" s="34">
        <v>180.226666666667</v>
      </c>
      <c r="N165" s="34">
        <v>123.54666666666699</v>
      </c>
      <c r="O165" s="34">
        <v>306.18666666666701</v>
      </c>
      <c r="P165" s="34">
        <v>355.30666666666701</v>
      </c>
      <c r="Q165" s="34">
        <v>0</v>
      </c>
      <c r="R165" s="34">
        <v>0</v>
      </c>
      <c r="S165" s="34">
        <v>0</v>
      </c>
      <c r="T165" s="34">
        <v>0</v>
      </c>
    </row>
    <row r="166" spans="1:142" ht="25.5" x14ac:dyDescent="0.2">
      <c r="A166" s="13">
        <v>163</v>
      </c>
      <c r="B166" s="37" t="s">
        <v>229</v>
      </c>
      <c r="C166" s="60" t="s">
        <v>701</v>
      </c>
      <c r="D166" s="37" t="s">
        <v>54</v>
      </c>
      <c r="E166" s="38">
        <v>12085576</v>
      </c>
      <c r="F166" s="39">
        <v>12085658</v>
      </c>
      <c r="G166" s="40" t="str">
        <f>HYPERLINK("http://genome.ucsc.edu/cgi-bin/hgTracks?position=chr19:12085426-12085808", "Go2UCSC")</f>
        <v>Go2UCSC</v>
      </c>
      <c r="H166" s="34">
        <v>243.24666666666675</v>
      </c>
      <c r="I166" s="34">
        <v>0</v>
      </c>
      <c r="J166" s="35">
        <v>243.24666666666675</v>
      </c>
      <c r="K166" s="36">
        <v>1</v>
      </c>
      <c r="L166" s="35">
        <v>63.510879025239362</v>
      </c>
      <c r="M166" s="34">
        <v>177.62666666666701</v>
      </c>
      <c r="N166" s="34">
        <v>106.16</v>
      </c>
      <c r="O166" s="34">
        <v>299.34666666666698</v>
      </c>
      <c r="P166" s="34">
        <v>389.85333333333301</v>
      </c>
      <c r="Q166" s="34">
        <v>0</v>
      </c>
      <c r="R166" s="34">
        <v>0</v>
      </c>
      <c r="S166" s="34">
        <v>0</v>
      </c>
      <c r="T166" s="34">
        <v>0</v>
      </c>
    </row>
    <row r="167" spans="1:142" ht="25.5" x14ac:dyDescent="0.2">
      <c r="A167" s="13">
        <v>164</v>
      </c>
      <c r="B167" s="37" t="s">
        <v>63</v>
      </c>
      <c r="C167" s="60" t="s">
        <v>702</v>
      </c>
      <c r="D167" s="37" t="s">
        <v>30</v>
      </c>
      <c r="E167" s="38">
        <v>173032502</v>
      </c>
      <c r="F167" s="39">
        <v>173032573</v>
      </c>
      <c r="G167" s="40" t="str">
        <f>HYPERLINK("http://genome.ucsc.edu/cgi-bin/hgTracks?position=chr1:173032352-173032723", "Go2UCSC")</f>
        <v>Go2UCSC</v>
      </c>
      <c r="H167" s="34">
        <v>234.23000000000025</v>
      </c>
      <c r="I167" s="34">
        <v>0.75</v>
      </c>
      <c r="J167" s="35">
        <v>234.98000000000025</v>
      </c>
      <c r="K167" s="36">
        <v>0.99680823899906379</v>
      </c>
      <c r="L167" s="35">
        <v>63.166666666666735</v>
      </c>
      <c r="M167" s="34">
        <v>239.946666666667</v>
      </c>
      <c r="N167" s="34">
        <v>194.18666666666701</v>
      </c>
      <c r="O167" s="34">
        <v>246.70666666666699</v>
      </c>
      <c r="P167" s="34">
        <v>256.08</v>
      </c>
      <c r="Q167" s="34">
        <v>0.5</v>
      </c>
      <c r="R167" s="34">
        <v>1</v>
      </c>
      <c r="S167" s="34">
        <v>1.5</v>
      </c>
      <c r="T167" s="34">
        <v>0</v>
      </c>
    </row>
    <row r="168" spans="1:142" ht="25.5" x14ac:dyDescent="0.2">
      <c r="A168" s="13">
        <v>165</v>
      </c>
      <c r="B168" s="37" t="s">
        <v>244</v>
      </c>
      <c r="C168" s="60" t="s">
        <v>703</v>
      </c>
      <c r="D168" s="37" t="s">
        <v>88</v>
      </c>
      <c r="E168" s="38">
        <v>48637230</v>
      </c>
      <c r="F168" s="39">
        <v>48637303</v>
      </c>
      <c r="G168" s="40" t="str">
        <f>HYPERLINK("http://genome.ucsc.edu/cgi-bin/hgTracks?position=chr11:48637080-48637453", "Go2UCSC")</f>
        <v>Go2UCSC</v>
      </c>
      <c r="H168" s="34">
        <v>232.29333333333324</v>
      </c>
      <c r="I168" s="34">
        <v>0</v>
      </c>
      <c r="J168" s="35">
        <v>232.29333333333324</v>
      </c>
      <c r="K168" s="36">
        <v>1</v>
      </c>
      <c r="L168" s="35">
        <v>62.110516934046323</v>
      </c>
      <c r="M168" s="34">
        <v>174.81333333333299</v>
      </c>
      <c r="N168" s="34">
        <v>126.28</v>
      </c>
      <c r="O168" s="34">
        <v>285.85333333333301</v>
      </c>
      <c r="P168" s="34">
        <v>342.22666666666697</v>
      </c>
      <c r="Q168" s="34">
        <v>0</v>
      </c>
      <c r="R168" s="34">
        <v>0</v>
      </c>
      <c r="S168" s="34">
        <v>0</v>
      </c>
      <c r="T168" s="34">
        <v>0</v>
      </c>
    </row>
    <row r="169" spans="1:142" ht="25.5" x14ac:dyDescent="0.2">
      <c r="A169" s="13">
        <v>166</v>
      </c>
      <c r="B169" s="37" t="s">
        <v>416</v>
      </c>
      <c r="C169" s="60" t="s">
        <v>704</v>
      </c>
      <c r="D169" s="37" t="s">
        <v>30</v>
      </c>
      <c r="E169" s="38">
        <v>172967160</v>
      </c>
      <c r="F169" s="39">
        <v>172967231</v>
      </c>
      <c r="G169" s="40" t="str">
        <f>HYPERLINK("http://genome.ucsc.edu/cgi-bin/hgTracks?position=chr1:172967010-172967381", "Go2UCSC")</f>
        <v>Go2UCSC</v>
      </c>
      <c r="H169" s="34">
        <v>225.78666666666649</v>
      </c>
      <c r="I169" s="34">
        <v>2.2000000000083353</v>
      </c>
      <c r="J169" s="35">
        <v>227.98666666667484</v>
      </c>
      <c r="K169" s="36">
        <v>0.99035031288375808</v>
      </c>
      <c r="L169" s="35">
        <v>61.286738351256673</v>
      </c>
      <c r="M169" s="34">
        <v>211.08</v>
      </c>
      <c r="N169" s="34">
        <v>141.76</v>
      </c>
      <c r="O169" s="34">
        <v>246.933333333333</v>
      </c>
      <c r="P169" s="34">
        <v>303.37333333333299</v>
      </c>
      <c r="Q169" s="34">
        <v>1.4</v>
      </c>
      <c r="R169" s="34">
        <v>2.4333333333333398</v>
      </c>
      <c r="S169" s="34">
        <v>3.0666666667000002</v>
      </c>
      <c r="T169" s="34">
        <v>1.9</v>
      </c>
    </row>
    <row r="170" spans="1:142" ht="25.5" x14ac:dyDescent="0.2">
      <c r="A170" s="13">
        <v>167</v>
      </c>
      <c r="B170" s="37" t="s">
        <v>421</v>
      </c>
      <c r="C170" s="60" t="s">
        <v>705</v>
      </c>
      <c r="D170" s="37" t="s">
        <v>414</v>
      </c>
      <c r="E170" s="38">
        <v>21802449</v>
      </c>
      <c r="F170" s="39">
        <v>21802519</v>
      </c>
      <c r="G170" s="40" t="str">
        <f>HYPERLINK("http://genome.ucsc.edu/cgi-bin/hgTracks?position=chr13:21802299-21802669", "Go2UCSC")</f>
        <v>Go2UCSC</v>
      </c>
      <c r="H170" s="34">
        <v>223.98</v>
      </c>
      <c r="I170" s="34">
        <v>0.83333333333333326</v>
      </c>
      <c r="J170" s="35">
        <v>224.81333333333336</v>
      </c>
      <c r="K170" s="36">
        <v>0.99629322104264273</v>
      </c>
      <c r="L170" s="35">
        <v>60.596585804132978</v>
      </c>
      <c r="M170" s="34">
        <v>177.96</v>
      </c>
      <c r="N170" s="34">
        <v>122.96</v>
      </c>
      <c r="O170" s="34">
        <v>262.16000000000003</v>
      </c>
      <c r="P170" s="34">
        <v>332.84</v>
      </c>
      <c r="Q170" s="34">
        <v>0.33333333333333304</v>
      </c>
      <c r="R170" s="34">
        <v>1</v>
      </c>
      <c r="S170" s="34">
        <v>1.3333333333000001</v>
      </c>
      <c r="T170" s="34">
        <v>0.66666666670000008</v>
      </c>
    </row>
    <row r="171" spans="1:142" ht="25.5" x14ac:dyDescent="0.2">
      <c r="A171" s="13">
        <v>168</v>
      </c>
      <c r="B171" s="37" t="s">
        <v>228</v>
      </c>
      <c r="C171" s="60" t="s">
        <v>706</v>
      </c>
      <c r="D171" s="37" t="s">
        <v>54</v>
      </c>
      <c r="E171" s="38">
        <v>3576263</v>
      </c>
      <c r="F171" s="39">
        <v>3576335</v>
      </c>
      <c r="G171" s="40" t="str">
        <f>HYPERLINK("http://genome.ucsc.edu/cgi-bin/hgTracks?position=chr19:3576113-3576485", "Go2UCSC")</f>
        <v>Go2UCSC</v>
      </c>
      <c r="H171" s="34">
        <v>225.19666666666677</v>
      </c>
      <c r="I171" s="34">
        <v>0</v>
      </c>
      <c r="J171" s="35">
        <v>225.19666666666677</v>
      </c>
      <c r="K171" s="36">
        <v>1</v>
      </c>
      <c r="L171" s="35">
        <v>60.374441465594316</v>
      </c>
      <c r="M171" s="34">
        <v>138.773333333333</v>
      </c>
      <c r="N171" s="34">
        <v>105.866666666667</v>
      </c>
      <c r="O171" s="34">
        <v>293.72000000000003</v>
      </c>
      <c r="P171" s="34">
        <v>362.42666666666702</v>
      </c>
      <c r="Q171" s="34">
        <v>0</v>
      </c>
      <c r="R171" s="34">
        <v>0</v>
      </c>
      <c r="S171" s="34">
        <v>0</v>
      </c>
      <c r="T171" s="34">
        <v>0</v>
      </c>
    </row>
    <row r="172" spans="1:142" ht="25.5" x14ac:dyDescent="0.2">
      <c r="A172" s="13">
        <v>169</v>
      </c>
      <c r="B172" s="37" t="s">
        <v>273</v>
      </c>
      <c r="C172" s="60" t="s">
        <v>707</v>
      </c>
      <c r="D172" s="37" t="s">
        <v>414</v>
      </c>
      <c r="E172" s="38">
        <v>23530566</v>
      </c>
      <c r="F172" s="39">
        <v>23530637</v>
      </c>
      <c r="G172" s="40" t="str">
        <f>HYPERLINK("http://genome.ucsc.edu/cgi-bin/hgTracks?position=chr13:23530416-23530787", "Go2UCSC")</f>
        <v>Go2UCSC</v>
      </c>
      <c r="H172" s="34">
        <v>223.37666666666678</v>
      </c>
      <c r="I172" s="34">
        <v>0</v>
      </c>
      <c r="J172" s="35">
        <v>223.37666666666678</v>
      </c>
      <c r="K172" s="36">
        <v>1</v>
      </c>
      <c r="L172" s="35">
        <v>60.047491039426554</v>
      </c>
      <c r="M172" s="34">
        <v>178.506666666667</v>
      </c>
      <c r="N172" s="34">
        <v>134.12</v>
      </c>
      <c r="O172" s="34">
        <v>224.2</v>
      </c>
      <c r="P172" s="34">
        <v>356.68</v>
      </c>
      <c r="Q172" s="34">
        <v>0</v>
      </c>
      <c r="R172" s="34">
        <v>0</v>
      </c>
      <c r="S172" s="34">
        <v>0</v>
      </c>
      <c r="T172" s="34">
        <v>0</v>
      </c>
    </row>
    <row r="173" spans="1:142" ht="25.5" x14ac:dyDescent="0.2">
      <c r="A173" s="13">
        <v>170</v>
      </c>
      <c r="B173" s="37" t="s">
        <v>40</v>
      </c>
      <c r="C173" s="60" t="s">
        <v>708</v>
      </c>
      <c r="D173" s="37" t="s">
        <v>85</v>
      </c>
      <c r="E173" s="38">
        <v>57034805</v>
      </c>
      <c r="F173" s="39">
        <v>57034875</v>
      </c>
      <c r="G173" s="40" t="str">
        <f>HYPERLINK("http://genome.ucsc.edu/cgi-bin/hgTracks?position=chr2:57034683-57035025", "Go2UCSC")</f>
        <v>Go2UCSC</v>
      </c>
      <c r="H173" s="34">
        <v>201.89333333333332</v>
      </c>
      <c r="I173" s="34">
        <v>0</v>
      </c>
      <c r="J173" s="35">
        <v>201.89333333333332</v>
      </c>
      <c r="K173" s="36">
        <v>1</v>
      </c>
      <c r="L173" s="35">
        <v>58.861030126336246</v>
      </c>
      <c r="M173" s="34">
        <v>180.04</v>
      </c>
      <c r="N173" s="34">
        <v>96.093333333333305</v>
      </c>
      <c r="O173" s="34">
        <v>241.74666666666701</v>
      </c>
      <c r="P173" s="34">
        <v>289.69333333333299</v>
      </c>
      <c r="Q173" s="34">
        <v>0</v>
      </c>
      <c r="R173" s="34">
        <v>0</v>
      </c>
      <c r="S173" s="34">
        <v>0</v>
      </c>
      <c r="T173" s="34">
        <v>0</v>
      </c>
    </row>
    <row r="174" spans="1:142" ht="25.5" x14ac:dyDescent="0.2">
      <c r="A174" s="13">
        <v>171</v>
      </c>
      <c r="B174" s="37" t="s">
        <v>411</v>
      </c>
      <c r="C174" s="60" t="s">
        <v>709</v>
      </c>
      <c r="D174" s="37" t="s">
        <v>88</v>
      </c>
      <c r="E174" s="38">
        <v>68924421</v>
      </c>
      <c r="F174" s="39">
        <v>68924502</v>
      </c>
      <c r="G174" s="40" t="str">
        <f>HYPERLINK("http://genome.ucsc.edu/cgi-bin/hgTracks?position=chr11:68924271-68924652", "Go2UCSC")</f>
        <v>Go2UCSC</v>
      </c>
      <c r="H174" s="34">
        <v>223.35333333333324</v>
      </c>
      <c r="I174" s="34">
        <v>0</v>
      </c>
      <c r="J174" s="35">
        <v>223.35333333333324</v>
      </c>
      <c r="K174" s="36">
        <v>1</v>
      </c>
      <c r="L174" s="35">
        <v>58.469458987783575</v>
      </c>
      <c r="M174" s="34">
        <v>224.053333333333</v>
      </c>
      <c r="N174" s="34">
        <v>154.52000000000001</v>
      </c>
      <c r="O174" s="34">
        <v>234.54666666666699</v>
      </c>
      <c r="P174" s="34">
        <v>280.29333333333301</v>
      </c>
      <c r="Q174" s="34">
        <v>0</v>
      </c>
      <c r="R174" s="34">
        <v>0</v>
      </c>
      <c r="S174" s="34">
        <v>0</v>
      </c>
      <c r="T174" s="34">
        <v>0</v>
      </c>
    </row>
    <row r="175" spans="1:142" ht="25.5" x14ac:dyDescent="0.2">
      <c r="A175" s="13">
        <v>172</v>
      </c>
      <c r="B175" s="40" t="s">
        <v>109</v>
      </c>
      <c r="C175" s="62" t="s">
        <v>710</v>
      </c>
      <c r="D175" s="40" t="s">
        <v>30</v>
      </c>
      <c r="E175" s="38">
        <v>173009537</v>
      </c>
      <c r="F175" s="38">
        <v>173009608</v>
      </c>
      <c r="G175" s="40" t="str">
        <f>HYPERLINK("http://genome.ucsc.edu/cgi-bin/hgTracks?position=chr1:173009387-173009758", "Go2UCSC")</f>
        <v>Go2UCSC</v>
      </c>
      <c r="H175" s="35">
        <v>23.703333333333351</v>
      </c>
      <c r="I175" s="35">
        <v>192.67222222219999</v>
      </c>
      <c r="J175" s="35">
        <v>216.37555555553334</v>
      </c>
      <c r="K175" s="43">
        <v>0.10954718647619985</v>
      </c>
      <c r="L175" s="35">
        <v>58.165471923530475</v>
      </c>
      <c r="M175" s="35">
        <v>18.1466666666667</v>
      </c>
      <c r="N175" s="35">
        <v>16.453333333333301</v>
      </c>
      <c r="O175" s="35">
        <v>29.706666666666699</v>
      </c>
      <c r="P175" s="35">
        <v>30.5066666666667</v>
      </c>
      <c r="Q175" s="35">
        <v>183.47333333333299</v>
      </c>
      <c r="R175" s="35">
        <v>154.14666666666699</v>
      </c>
      <c r="S175" s="35">
        <v>237.7944444444</v>
      </c>
      <c r="T175" s="35">
        <v>195.27444444439999</v>
      </c>
    </row>
    <row r="176" spans="1:142" s="4" customFormat="1" ht="25.5" x14ac:dyDescent="0.2">
      <c r="A176" s="13">
        <v>173</v>
      </c>
      <c r="B176" s="37" t="s">
        <v>15</v>
      </c>
      <c r="C176" s="60" t="s">
        <v>711</v>
      </c>
      <c r="D176" s="37" t="s">
        <v>414</v>
      </c>
      <c r="E176" s="38">
        <v>21418586</v>
      </c>
      <c r="F176" s="39">
        <v>21418658</v>
      </c>
      <c r="G176" s="40" t="str">
        <f>HYPERLINK("http://genome.ucsc.edu/cgi-bin/hgTracks?position=chr13:21418436-21418808", "Go2UCSC")</f>
        <v>Go2UCSC</v>
      </c>
      <c r="H176" s="34">
        <v>215.7</v>
      </c>
      <c r="I176" s="34">
        <v>0</v>
      </c>
      <c r="J176" s="35">
        <v>215.7</v>
      </c>
      <c r="K176" s="36">
        <v>1</v>
      </c>
      <c r="L176" s="35">
        <v>57.828418230563003</v>
      </c>
      <c r="M176" s="34">
        <v>163.44</v>
      </c>
      <c r="N176" s="34">
        <v>125.133333333333</v>
      </c>
      <c r="O176" s="34">
        <v>283.066666666667</v>
      </c>
      <c r="P176" s="34">
        <v>291.16000000000003</v>
      </c>
      <c r="Q176" s="34">
        <v>0</v>
      </c>
      <c r="R176" s="34">
        <v>0</v>
      </c>
      <c r="S176" s="34">
        <v>0</v>
      </c>
      <c r="T176" s="34">
        <v>0</v>
      </c>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row>
    <row r="177" spans="1:142" ht="25.5" x14ac:dyDescent="0.2">
      <c r="A177" s="13">
        <v>174</v>
      </c>
      <c r="B177" s="37" t="s">
        <v>501</v>
      </c>
      <c r="C177" s="60" t="s">
        <v>712</v>
      </c>
      <c r="D177" s="37" t="s">
        <v>88</v>
      </c>
      <c r="E177" s="38">
        <v>68923967</v>
      </c>
      <c r="F177" s="39">
        <v>68924040</v>
      </c>
      <c r="G177" s="40" t="str">
        <f>HYPERLINK("http://genome.ucsc.edu/cgi-bin/hgTracks?position=chr11:68923817-68924190", "Go2UCSC")</f>
        <v>Go2UCSC</v>
      </c>
      <c r="H177" s="34">
        <v>215.29</v>
      </c>
      <c r="I177" s="34">
        <v>0</v>
      </c>
      <c r="J177" s="35">
        <v>215.29</v>
      </c>
      <c r="K177" s="36">
        <v>1</v>
      </c>
      <c r="L177" s="35">
        <v>57.564171122994651</v>
      </c>
      <c r="M177" s="34">
        <v>177.81333333333299</v>
      </c>
      <c r="N177" s="34">
        <v>123.56</v>
      </c>
      <c r="O177" s="34">
        <v>262.506666666667</v>
      </c>
      <c r="P177" s="34">
        <v>297.27999999999997</v>
      </c>
      <c r="Q177" s="34">
        <v>0</v>
      </c>
      <c r="R177" s="34">
        <v>0</v>
      </c>
      <c r="S177" s="34">
        <v>0</v>
      </c>
      <c r="T177" s="34">
        <v>0</v>
      </c>
    </row>
    <row r="178" spans="1:142" s="4" customFormat="1" ht="25.5" x14ac:dyDescent="0.2">
      <c r="A178" s="13">
        <v>175</v>
      </c>
      <c r="B178" s="37" t="s">
        <v>42</v>
      </c>
      <c r="C178" s="60" t="s">
        <v>713</v>
      </c>
      <c r="D178" s="37" t="s">
        <v>54</v>
      </c>
      <c r="E178" s="38">
        <v>5038304</v>
      </c>
      <c r="F178" s="39">
        <v>5038385</v>
      </c>
      <c r="G178" s="40" t="str">
        <f>HYPERLINK("http://genome.ucsc.edu/cgi-bin/hgTracks?position=chr19:5038154-5038535", "Go2UCSC")</f>
        <v>Go2UCSC</v>
      </c>
      <c r="H178" s="34">
        <v>217.93333333333325</v>
      </c>
      <c r="I178" s="34">
        <v>0</v>
      </c>
      <c r="J178" s="35">
        <v>217.93333333333325</v>
      </c>
      <c r="K178" s="36">
        <v>1</v>
      </c>
      <c r="L178" s="35">
        <v>57.050610820244309</v>
      </c>
      <c r="M178" s="34">
        <v>184.01333333333301</v>
      </c>
      <c r="N178" s="34">
        <v>144.88</v>
      </c>
      <c r="O178" s="34">
        <v>279.933333333333</v>
      </c>
      <c r="P178" s="34">
        <v>262.90666666666698</v>
      </c>
      <c r="Q178" s="34">
        <v>0</v>
      </c>
      <c r="R178" s="34">
        <v>0</v>
      </c>
      <c r="S178" s="34">
        <v>0</v>
      </c>
      <c r="T178" s="34">
        <v>0</v>
      </c>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row>
    <row r="179" spans="1:142" ht="25.5" x14ac:dyDescent="0.2">
      <c r="A179" s="13">
        <v>176</v>
      </c>
      <c r="B179" s="37" t="s">
        <v>18</v>
      </c>
      <c r="C179" s="60" t="s">
        <v>714</v>
      </c>
      <c r="D179" s="37" t="s">
        <v>261</v>
      </c>
      <c r="E179" s="38">
        <v>118488747</v>
      </c>
      <c r="F179" s="39">
        <v>118488819</v>
      </c>
      <c r="G179" s="40" t="str">
        <f>HYPERLINK("http://genome.ucsc.edu/cgi-bin/hgTracks?position=chr14:118488597-118488969", "Go2UCSC")</f>
        <v>Go2UCSC</v>
      </c>
      <c r="H179" s="34">
        <v>206.32666666666699</v>
      </c>
      <c r="I179" s="34">
        <v>1.5</v>
      </c>
      <c r="J179" s="35">
        <v>207.82666666666699</v>
      </c>
      <c r="K179" s="36">
        <v>0.99278244691088724</v>
      </c>
      <c r="L179" s="35">
        <v>55.717605004468368</v>
      </c>
      <c r="M179" s="34">
        <v>190.54666666666699</v>
      </c>
      <c r="N179" s="34">
        <v>116.90666666666699</v>
      </c>
      <c r="O179" s="34">
        <v>254.14666666666699</v>
      </c>
      <c r="P179" s="34">
        <v>263.70666666666699</v>
      </c>
      <c r="Q179" s="34">
        <v>1.5</v>
      </c>
      <c r="R179" s="34">
        <v>0.5</v>
      </c>
      <c r="S179" s="34">
        <v>3</v>
      </c>
      <c r="T179" s="34">
        <v>1</v>
      </c>
    </row>
    <row r="180" spans="1:142" ht="25.5" x14ac:dyDescent="0.2">
      <c r="A180" s="13">
        <v>177</v>
      </c>
      <c r="B180" s="37" t="s">
        <v>16</v>
      </c>
      <c r="C180" s="60" t="s">
        <v>715</v>
      </c>
      <c r="D180" s="37" t="s">
        <v>414</v>
      </c>
      <c r="E180" s="38">
        <v>21974754</v>
      </c>
      <c r="F180" s="39">
        <v>21974826</v>
      </c>
      <c r="G180" s="40" t="str">
        <f>HYPERLINK("http://genome.ucsc.edu/cgi-bin/hgTracks?position=chr13:21974604-21974976", "Go2UCSC")</f>
        <v>Go2UCSC</v>
      </c>
      <c r="H180" s="34">
        <v>207.75999999999976</v>
      </c>
      <c r="I180" s="34">
        <v>0</v>
      </c>
      <c r="J180" s="35">
        <v>207.75999999999976</v>
      </c>
      <c r="K180" s="36">
        <v>1</v>
      </c>
      <c r="L180" s="35">
        <v>55.699731903485194</v>
      </c>
      <c r="M180" s="34">
        <v>210.29333333333301</v>
      </c>
      <c r="N180" s="34">
        <v>122.73333333333299</v>
      </c>
      <c r="O180" s="34">
        <v>228.493333333333</v>
      </c>
      <c r="P180" s="34">
        <v>269.52</v>
      </c>
      <c r="Q180" s="34">
        <v>0</v>
      </c>
      <c r="R180" s="34">
        <v>0</v>
      </c>
      <c r="S180" s="34">
        <v>0</v>
      </c>
      <c r="T180" s="34">
        <v>0</v>
      </c>
    </row>
    <row r="181" spans="1:142" s="4" customFormat="1" ht="25.5" x14ac:dyDescent="0.2">
      <c r="A181" s="13">
        <v>178</v>
      </c>
      <c r="B181" s="37" t="s">
        <v>225</v>
      </c>
      <c r="C181" s="60" t="s">
        <v>716</v>
      </c>
      <c r="D181" s="37" t="s">
        <v>414</v>
      </c>
      <c r="E181" s="38">
        <v>22011084</v>
      </c>
      <c r="F181" s="39">
        <v>22011165</v>
      </c>
      <c r="G181" s="40" t="str">
        <f>HYPERLINK("http://genome.ucsc.edu/cgi-bin/hgTracks?position=chr13:22010934-22011315", "Go2UCSC")</f>
        <v>Go2UCSC</v>
      </c>
      <c r="H181" s="34">
        <v>199.26666666666665</v>
      </c>
      <c r="I181" s="34">
        <v>12.831111111127791</v>
      </c>
      <c r="J181" s="35">
        <v>212.09777777779445</v>
      </c>
      <c r="K181" s="36">
        <v>0.9395037927998926</v>
      </c>
      <c r="L181" s="35">
        <v>55.522978475862416</v>
      </c>
      <c r="M181" s="34">
        <v>163.45333333333301</v>
      </c>
      <c r="N181" s="34">
        <v>90.706666666666706</v>
      </c>
      <c r="O181" s="34">
        <v>288.34666666666698</v>
      </c>
      <c r="P181" s="34">
        <v>254.56</v>
      </c>
      <c r="Q181" s="34">
        <v>13.3244444444445</v>
      </c>
      <c r="R181" s="34">
        <v>8.2666666666666604</v>
      </c>
      <c r="S181" s="34">
        <v>13.166666666699999</v>
      </c>
      <c r="T181" s="34">
        <v>16.566666666700002</v>
      </c>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row>
    <row r="182" spans="1:142" ht="25.5" x14ac:dyDescent="0.2">
      <c r="A182" s="13">
        <v>179</v>
      </c>
      <c r="B182" s="40" t="s">
        <v>194</v>
      </c>
      <c r="C182" s="62" t="s">
        <v>717</v>
      </c>
      <c r="D182" s="40" t="s">
        <v>30</v>
      </c>
      <c r="E182" s="38">
        <v>173001923</v>
      </c>
      <c r="F182" s="38">
        <v>173001994</v>
      </c>
      <c r="G182" s="40" t="str">
        <f>HYPERLINK("http://genome.ucsc.edu/cgi-bin/hgTracks?position=chr1:173001773-173002144", "Go2UCSC")</f>
        <v>Go2UCSC</v>
      </c>
      <c r="H182" s="35">
        <v>3.1666666666666652</v>
      </c>
      <c r="I182" s="35">
        <v>202.23388888887499</v>
      </c>
      <c r="J182" s="35">
        <v>205.40055555554164</v>
      </c>
      <c r="K182" s="43">
        <v>1.5417030679892091E-2</v>
      </c>
      <c r="L182" s="35">
        <v>55.215203106328403</v>
      </c>
      <c r="M182" s="35">
        <v>2.08</v>
      </c>
      <c r="N182" s="35">
        <v>3.64</v>
      </c>
      <c r="O182" s="35">
        <v>3.1333333333333302</v>
      </c>
      <c r="P182" s="35">
        <v>3.8133333333333299</v>
      </c>
      <c r="Q182" s="35">
        <v>187.113333333333</v>
      </c>
      <c r="R182" s="35">
        <v>162.86666666666699</v>
      </c>
      <c r="S182" s="35">
        <v>249.98111111110001</v>
      </c>
      <c r="T182" s="35">
        <v>208.97444444440001</v>
      </c>
    </row>
    <row r="183" spans="1:142" ht="25.5" x14ac:dyDescent="0.2">
      <c r="A183" s="13">
        <v>180</v>
      </c>
      <c r="B183" s="37" t="s">
        <v>43</v>
      </c>
      <c r="C183" s="60" t="s">
        <v>718</v>
      </c>
      <c r="D183" s="37" t="s">
        <v>255</v>
      </c>
      <c r="E183" s="38">
        <v>113586461</v>
      </c>
      <c r="F183" s="39">
        <v>113586531</v>
      </c>
      <c r="G183" s="40" t="str">
        <f>HYPERLINK("http://genome.ucsc.edu/cgi-bin/hgTracks?position=chr8:113586311-113586681", "Go2UCSC")</f>
        <v>Go2UCSC</v>
      </c>
      <c r="H183" s="34">
        <v>204.22333333333324</v>
      </c>
      <c r="I183" s="34">
        <v>0</v>
      </c>
      <c r="J183" s="35">
        <v>204.22333333333324</v>
      </c>
      <c r="K183" s="36">
        <v>1</v>
      </c>
      <c r="L183" s="35">
        <v>55.046720575022441</v>
      </c>
      <c r="M183" s="34">
        <v>200.46666666666701</v>
      </c>
      <c r="N183" s="34">
        <v>144.81333333333299</v>
      </c>
      <c r="O183" s="34">
        <v>233.6</v>
      </c>
      <c r="P183" s="34">
        <v>238.01333333333301</v>
      </c>
      <c r="Q183" s="34">
        <v>0</v>
      </c>
      <c r="R183" s="34">
        <v>0</v>
      </c>
      <c r="S183" s="34">
        <v>0</v>
      </c>
      <c r="T183" s="34">
        <v>0</v>
      </c>
    </row>
    <row r="184" spans="1:142" ht="25.5" x14ac:dyDescent="0.2">
      <c r="A184" s="13">
        <v>181</v>
      </c>
      <c r="B184" s="40" t="s">
        <v>227</v>
      </c>
      <c r="C184" s="62" t="s">
        <v>719</v>
      </c>
      <c r="D184" s="40" t="s">
        <v>30</v>
      </c>
      <c r="E184" s="38">
        <v>173010079</v>
      </c>
      <c r="F184" s="38">
        <v>173010150</v>
      </c>
      <c r="G184" s="40" t="str">
        <f>HYPERLINK("http://genome.ucsc.edu/cgi-bin/hgTracks?position=chr1:173009929-173010300", "Go2UCSC")</f>
        <v>Go2UCSC</v>
      </c>
      <c r="H184" s="35">
        <v>0</v>
      </c>
      <c r="I184" s="35">
        <v>193.88611111109148</v>
      </c>
      <c r="J184" s="35">
        <v>193.88611111109148</v>
      </c>
      <c r="K184" s="43">
        <v>0</v>
      </c>
      <c r="L184" s="35">
        <v>52.119922341691257</v>
      </c>
      <c r="M184" s="35">
        <v>0</v>
      </c>
      <c r="N184" s="35">
        <v>0</v>
      </c>
      <c r="O184" s="35">
        <v>0</v>
      </c>
      <c r="P184" s="35">
        <v>0</v>
      </c>
      <c r="Q184" s="35">
        <v>172.81333333333299</v>
      </c>
      <c r="R184" s="35">
        <v>132.85333333333301</v>
      </c>
      <c r="S184" s="35">
        <v>254.86444444439999</v>
      </c>
      <c r="T184" s="35">
        <v>215.01333333330001</v>
      </c>
    </row>
    <row r="185" spans="1:142" ht="25.5" x14ac:dyDescent="0.2">
      <c r="A185" s="13">
        <v>182</v>
      </c>
      <c r="B185" s="40" t="s">
        <v>120</v>
      </c>
      <c r="C185" s="62" t="s">
        <v>720</v>
      </c>
      <c r="D185" s="40" t="s">
        <v>30</v>
      </c>
      <c r="E185" s="38">
        <v>173002465</v>
      </c>
      <c r="F185" s="38">
        <v>173002536</v>
      </c>
      <c r="G185" s="40" t="str">
        <f>HYPERLINK("http://genome.ucsc.edu/cgi-bin/hgTracks?position=chr1:173002315-173002686", "Go2UCSC")</f>
        <v>Go2UCSC</v>
      </c>
      <c r="H185" s="35">
        <v>0</v>
      </c>
      <c r="I185" s="35">
        <v>193.88611111109148</v>
      </c>
      <c r="J185" s="35">
        <v>193.88611111109148</v>
      </c>
      <c r="K185" s="43">
        <v>0</v>
      </c>
      <c r="L185" s="35">
        <v>52.119922341691257</v>
      </c>
      <c r="M185" s="35">
        <v>0</v>
      </c>
      <c r="N185" s="35">
        <v>0</v>
      </c>
      <c r="O185" s="35">
        <v>0</v>
      </c>
      <c r="P185" s="35">
        <v>0</v>
      </c>
      <c r="Q185" s="35">
        <v>172.81333333333299</v>
      </c>
      <c r="R185" s="35">
        <v>132.85333333333301</v>
      </c>
      <c r="S185" s="35">
        <v>254.86444444439999</v>
      </c>
      <c r="T185" s="35">
        <v>215.01333333330001</v>
      </c>
    </row>
    <row r="186" spans="1:142" ht="25.5" x14ac:dyDescent="0.2">
      <c r="A186" s="13">
        <v>183</v>
      </c>
      <c r="B186" s="40" t="s">
        <v>119</v>
      </c>
      <c r="C186" s="62" t="s">
        <v>721</v>
      </c>
      <c r="D186" s="40" t="s">
        <v>30</v>
      </c>
      <c r="E186" s="38">
        <v>172996762</v>
      </c>
      <c r="F186" s="38">
        <v>172996832</v>
      </c>
      <c r="G186" s="40" t="str">
        <f>HYPERLINK("http://genome.ucsc.edu/cgi-bin/hgTracks?position=chr1:172996612-172996982", "Go2UCSC")</f>
        <v>Go2UCSC</v>
      </c>
      <c r="H186" s="35">
        <v>58.04</v>
      </c>
      <c r="I186" s="35">
        <v>123.29777777776945</v>
      </c>
      <c r="J186" s="35">
        <v>181.33777777776945</v>
      </c>
      <c r="K186" s="43">
        <v>0.32006568466460628</v>
      </c>
      <c r="L186" s="35">
        <v>48.87810721772761</v>
      </c>
      <c r="M186" s="35">
        <v>55.266666666666701</v>
      </c>
      <c r="N186" s="35">
        <v>37.293333333333301</v>
      </c>
      <c r="O186" s="35">
        <v>65.72</v>
      </c>
      <c r="P186" s="35">
        <v>73.88</v>
      </c>
      <c r="Q186" s="35">
        <v>93.442222222222199</v>
      </c>
      <c r="R186" s="35">
        <v>89.015555555555594</v>
      </c>
      <c r="S186" s="35">
        <v>150.8844444444</v>
      </c>
      <c r="T186" s="35">
        <v>159.84888888890001</v>
      </c>
    </row>
    <row r="187" spans="1:142" ht="25.5" x14ac:dyDescent="0.2">
      <c r="A187" s="13">
        <v>184</v>
      </c>
      <c r="B187" s="37" t="s">
        <v>17</v>
      </c>
      <c r="C187" s="60" t="s">
        <v>722</v>
      </c>
      <c r="D187" s="37" t="s">
        <v>252</v>
      </c>
      <c r="E187" s="38">
        <v>96962008</v>
      </c>
      <c r="F187" s="39">
        <v>96962079</v>
      </c>
      <c r="G187" s="40" t="str">
        <f>HYPERLINK("http://genome.ucsc.edu/cgi-bin/hgTracks?position=chr3:96961858-96962229", "Go2UCSC")</f>
        <v>Go2UCSC</v>
      </c>
      <c r="H187" s="35">
        <v>173.63333333333324</v>
      </c>
      <c r="I187" s="35">
        <v>7.5</v>
      </c>
      <c r="J187" s="35">
        <v>181.13333333333324</v>
      </c>
      <c r="K187" s="36">
        <v>0.95859403754140593</v>
      </c>
      <c r="L187" s="35">
        <v>48.691756272401413</v>
      </c>
      <c r="M187" s="34">
        <v>161.47999999999999</v>
      </c>
      <c r="N187" s="34">
        <v>132.28</v>
      </c>
      <c r="O187" s="34">
        <v>189.25333333333299</v>
      </c>
      <c r="P187" s="34">
        <v>211.52</v>
      </c>
      <c r="Q187" s="34">
        <v>7.5</v>
      </c>
      <c r="R187" s="34">
        <v>4</v>
      </c>
      <c r="S187" s="34">
        <v>9</v>
      </c>
      <c r="T187" s="34">
        <v>9.5</v>
      </c>
    </row>
    <row r="188" spans="1:142" ht="25.5" x14ac:dyDescent="0.2">
      <c r="A188" s="13">
        <v>185</v>
      </c>
      <c r="B188" s="37" t="s">
        <v>44</v>
      </c>
      <c r="C188" s="60" t="s">
        <v>723</v>
      </c>
      <c r="D188" s="37" t="s">
        <v>88</v>
      </c>
      <c r="E188" s="38">
        <v>68876997</v>
      </c>
      <c r="F188" s="39">
        <v>68877068</v>
      </c>
      <c r="G188" s="40" t="str">
        <f>HYPERLINK("http://genome.ucsc.edu/cgi-bin/hgTracks?position=chr11:68876847-68877218", "Go2UCSC")</f>
        <v>Go2UCSC</v>
      </c>
      <c r="H188" s="34">
        <v>179.29666666666674</v>
      </c>
      <c r="I188" s="34">
        <v>0</v>
      </c>
      <c r="J188" s="35">
        <v>179.29666666666674</v>
      </c>
      <c r="K188" s="36">
        <v>1</v>
      </c>
      <c r="L188" s="35">
        <v>48.198028673835147</v>
      </c>
      <c r="M188" s="34">
        <v>215.02666666666701</v>
      </c>
      <c r="N188" s="34">
        <v>146.04</v>
      </c>
      <c r="O188" s="34">
        <v>178.493333333333</v>
      </c>
      <c r="P188" s="34">
        <v>177.62666666666701</v>
      </c>
      <c r="Q188" s="34">
        <v>0</v>
      </c>
      <c r="R188" s="34">
        <v>0</v>
      </c>
      <c r="S188" s="34">
        <v>0</v>
      </c>
      <c r="T188" s="34">
        <v>0</v>
      </c>
    </row>
    <row r="189" spans="1:142" ht="25.5" x14ac:dyDescent="0.2">
      <c r="A189" s="13">
        <v>186</v>
      </c>
      <c r="B189" s="37" t="s">
        <v>41</v>
      </c>
      <c r="C189" s="60" t="s">
        <v>724</v>
      </c>
      <c r="D189" s="37" t="s">
        <v>414</v>
      </c>
      <c r="E189" s="38">
        <v>23528209</v>
      </c>
      <c r="F189" s="39">
        <v>23528281</v>
      </c>
      <c r="G189" s="40" t="str">
        <f>HYPERLINK("http://genome.ucsc.edu/cgi-bin/hgTracks?position=chr13:23528059-23528431", "Go2UCSC")</f>
        <v>Go2UCSC</v>
      </c>
      <c r="H189" s="34">
        <v>171.1333333333335</v>
      </c>
      <c r="I189" s="34">
        <v>1.7500000000083324</v>
      </c>
      <c r="J189" s="35">
        <v>172.88333333334182</v>
      </c>
      <c r="K189" s="36">
        <v>0.98987756675980965</v>
      </c>
      <c r="L189" s="35">
        <v>46.349419124220333</v>
      </c>
      <c r="M189" s="34">
        <v>124.98666666666701</v>
      </c>
      <c r="N189" s="34">
        <v>101.64</v>
      </c>
      <c r="O189" s="34">
        <v>209.08</v>
      </c>
      <c r="P189" s="34">
        <v>248.82666666666699</v>
      </c>
      <c r="Q189" s="34">
        <v>2</v>
      </c>
      <c r="R189" s="34">
        <v>1.3333333333333299</v>
      </c>
      <c r="S189" s="34">
        <v>1.5</v>
      </c>
      <c r="T189" s="34">
        <v>2.1666666666999999</v>
      </c>
    </row>
    <row r="190" spans="1:142" ht="25.5" x14ac:dyDescent="0.2">
      <c r="A190" s="13">
        <v>187</v>
      </c>
      <c r="B190" s="40" t="s">
        <v>322</v>
      </c>
      <c r="C190" s="62" t="s">
        <v>725</v>
      </c>
      <c r="D190" s="40" t="s">
        <v>30</v>
      </c>
      <c r="E190" s="38">
        <v>173012007</v>
      </c>
      <c r="F190" s="38">
        <v>173012077</v>
      </c>
      <c r="G190" s="40" t="str">
        <f>HYPERLINK("http://genome.ucsc.edu/cgi-bin/hgTracks?position=chr1:173011857-173012227", "Go2UCSC")</f>
        <v>Go2UCSC</v>
      </c>
      <c r="H190" s="35">
        <v>58.133333333333326</v>
      </c>
      <c r="I190" s="35">
        <v>111.1583333333333</v>
      </c>
      <c r="J190" s="35">
        <v>169.29166666666663</v>
      </c>
      <c r="K190" s="43">
        <v>0.3433915825744524</v>
      </c>
      <c r="L190" s="35">
        <v>45.63117699910152</v>
      </c>
      <c r="M190" s="35">
        <v>42.533333333333303</v>
      </c>
      <c r="N190" s="35">
        <v>36.72</v>
      </c>
      <c r="O190" s="35">
        <v>81.226666666666702</v>
      </c>
      <c r="P190" s="35">
        <v>72.053333333333299</v>
      </c>
      <c r="Q190" s="35">
        <v>85.037777777777706</v>
      </c>
      <c r="R190" s="35">
        <v>81.435555555555496</v>
      </c>
      <c r="S190" s="35">
        <v>134.8844444444</v>
      </c>
      <c r="T190" s="35">
        <v>143.27555555559999</v>
      </c>
    </row>
    <row r="191" spans="1:142" ht="25.5" x14ac:dyDescent="0.2">
      <c r="A191" s="13">
        <v>188</v>
      </c>
      <c r="B191" s="37" t="s">
        <v>189</v>
      </c>
      <c r="C191" s="60" t="s">
        <v>726</v>
      </c>
      <c r="D191" s="37" t="s">
        <v>414</v>
      </c>
      <c r="E191" s="38">
        <v>21973902</v>
      </c>
      <c r="F191" s="39">
        <v>21973975</v>
      </c>
      <c r="G191" s="40" t="str">
        <f>HYPERLINK("http://genome.ucsc.edu/cgi-bin/hgTracks?position=chr13:21973752-21974125", "Go2UCSC")</f>
        <v>Go2UCSC</v>
      </c>
      <c r="H191" s="34">
        <v>158.92666666666673</v>
      </c>
      <c r="I191" s="34">
        <v>9.2624999999916682</v>
      </c>
      <c r="J191" s="35">
        <v>168.18916666665839</v>
      </c>
      <c r="K191" s="36">
        <v>0.94492808197124001</v>
      </c>
      <c r="L191" s="35">
        <v>44.970365418892619</v>
      </c>
      <c r="M191" s="34">
        <v>131.16</v>
      </c>
      <c r="N191" s="34">
        <v>75.52</v>
      </c>
      <c r="O191" s="34">
        <v>205.106666666667</v>
      </c>
      <c r="P191" s="34">
        <v>223.92</v>
      </c>
      <c r="Q191" s="34">
        <v>9.3333333333333393</v>
      </c>
      <c r="R191" s="34">
        <v>6.0083333333333302</v>
      </c>
      <c r="S191" s="34">
        <v>10.458333333300001</v>
      </c>
      <c r="T191" s="34">
        <v>11.25</v>
      </c>
    </row>
    <row r="192" spans="1:142" ht="25.5" x14ac:dyDescent="0.2">
      <c r="A192" s="13">
        <v>189</v>
      </c>
      <c r="B192" s="37" t="s">
        <v>2</v>
      </c>
      <c r="C192" s="60" t="s">
        <v>727</v>
      </c>
      <c r="D192" s="37" t="s">
        <v>414</v>
      </c>
      <c r="E192" s="38">
        <v>23595849</v>
      </c>
      <c r="F192" s="39">
        <v>23595921</v>
      </c>
      <c r="G192" s="40" t="str">
        <f>HYPERLINK("http://genome.ucsc.edu/cgi-bin/hgTracks?position=chr13:23595699-23596071", "Go2UCSC")</f>
        <v>Go2UCSC</v>
      </c>
      <c r="H192" s="34">
        <v>167.29000000000025</v>
      </c>
      <c r="I192" s="34">
        <v>0</v>
      </c>
      <c r="J192" s="35">
        <v>167.29000000000025</v>
      </c>
      <c r="K192" s="36">
        <v>1</v>
      </c>
      <c r="L192" s="35">
        <v>44.849865951742693</v>
      </c>
      <c r="M192" s="34">
        <v>118.62666666666701</v>
      </c>
      <c r="N192" s="34">
        <v>85.6</v>
      </c>
      <c r="O192" s="34">
        <v>223.066666666667</v>
      </c>
      <c r="P192" s="34">
        <v>241.86666666666699</v>
      </c>
      <c r="Q192" s="34">
        <v>0</v>
      </c>
      <c r="R192" s="34">
        <v>0</v>
      </c>
      <c r="S192" s="34">
        <v>0</v>
      </c>
      <c r="T192" s="34">
        <v>0</v>
      </c>
    </row>
    <row r="193" spans="1:142" ht="25.5" x14ac:dyDescent="0.2">
      <c r="A193" s="13">
        <v>190</v>
      </c>
      <c r="B193" s="37" t="s">
        <v>19</v>
      </c>
      <c r="C193" s="60" t="s">
        <v>728</v>
      </c>
      <c r="D193" s="37" t="s">
        <v>88</v>
      </c>
      <c r="E193" s="38">
        <v>48670476</v>
      </c>
      <c r="F193" s="39">
        <v>48670557</v>
      </c>
      <c r="G193" s="40" t="str">
        <f>HYPERLINK("http://genome.ucsc.edu/cgi-bin/hgTracks?position=chr11:48670344-48670707", "Go2UCSC")</f>
        <v>Go2UCSC</v>
      </c>
      <c r="H193" s="34">
        <v>151.2166666666667</v>
      </c>
      <c r="I193" s="34">
        <v>11.062500000008333</v>
      </c>
      <c r="J193" s="35">
        <v>162.27916666667502</v>
      </c>
      <c r="K193" s="36">
        <v>0.93183043623380846</v>
      </c>
      <c r="L193" s="35">
        <v>44.582188644690945</v>
      </c>
      <c r="M193" s="34">
        <v>140.73333333333301</v>
      </c>
      <c r="N193" s="34">
        <v>75.226666666666702</v>
      </c>
      <c r="O193" s="34">
        <v>179.106666666667</v>
      </c>
      <c r="P193" s="34">
        <v>209.8</v>
      </c>
      <c r="Q193" s="34">
        <v>9.75</v>
      </c>
      <c r="R193" s="34">
        <v>7.0833333333333304</v>
      </c>
      <c r="S193" s="34">
        <v>13.666666666699999</v>
      </c>
      <c r="T193" s="34">
        <v>13.75</v>
      </c>
    </row>
    <row r="194" spans="1:142" ht="25.5" x14ac:dyDescent="0.2">
      <c r="A194" s="13">
        <v>191</v>
      </c>
      <c r="B194" s="37" t="s">
        <v>1</v>
      </c>
      <c r="C194" s="60" t="s">
        <v>729</v>
      </c>
      <c r="D194" s="37" t="s">
        <v>414</v>
      </c>
      <c r="E194" s="38">
        <v>22032783</v>
      </c>
      <c r="F194" s="39">
        <v>22032864</v>
      </c>
      <c r="G194" s="40" t="str">
        <f>HYPERLINK("http://genome.ucsc.edu/cgi-bin/hgTracks?position=chr13:22032633-22033014", "Go2UCSC")</f>
        <v>Go2UCSC</v>
      </c>
      <c r="H194" s="34">
        <v>157.74666666666673</v>
      </c>
      <c r="I194" s="34">
        <v>11.41444444442778</v>
      </c>
      <c r="J194" s="35">
        <v>169.1611111110945</v>
      </c>
      <c r="K194" s="36">
        <v>0.93252323557433081</v>
      </c>
      <c r="L194" s="35">
        <v>44.283013379867668</v>
      </c>
      <c r="M194" s="34">
        <v>132.28</v>
      </c>
      <c r="N194" s="34">
        <v>80.680000000000007</v>
      </c>
      <c r="O194" s="34">
        <v>180.86666666666699</v>
      </c>
      <c r="P194" s="34">
        <v>237.16</v>
      </c>
      <c r="Q194" s="34">
        <v>9.9911111111111097</v>
      </c>
      <c r="R194" s="34">
        <v>8.6000000000000103</v>
      </c>
      <c r="S194" s="34">
        <v>11.833333333300001</v>
      </c>
      <c r="T194" s="34">
        <v>15.233333333299999</v>
      </c>
    </row>
    <row r="195" spans="1:142" s="4" customFormat="1" ht="25.5" x14ac:dyDescent="0.2">
      <c r="A195" s="13">
        <v>192</v>
      </c>
      <c r="B195" s="40" t="s">
        <v>187</v>
      </c>
      <c r="C195" s="62" t="s">
        <v>730</v>
      </c>
      <c r="D195" s="40" t="s">
        <v>30</v>
      </c>
      <c r="E195" s="38">
        <v>172995489</v>
      </c>
      <c r="F195" s="38">
        <v>172995560</v>
      </c>
      <c r="G195" s="40" t="str">
        <f>HYPERLINK("http://genome.ucsc.edu/cgi-bin/hgTracks?position=chr1:172995339-172995710", "Go2UCSC")</f>
        <v>Go2UCSC</v>
      </c>
      <c r="H195" s="35">
        <v>64.09333333333332</v>
      </c>
      <c r="I195" s="35">
        <v>98.335555555561086</v>
      </c>
      <c r="J195" s="35">
        <v>162.42888888889439</v>
      </c>
      <c r="K195" s="43">
        <v>0.39459318949829691</v>
      </c>
      <c r="L195" s="35">
        <v>43.663679808842581</v>
      </c>
      <c r="M195" s="35">
        <v>48.64</v>
      </c>
      <c r="N195" s="35">
        <v>54.72</v>
      </c>
      <c r="O195" s="35">
        <v>94.24</v>
      </c>
      <c r="P195" s="35">
        <v>58.773333333333298</v>
      </c>
      <c r="Q195" s="35">
        <v>96.667777777777701</v>
      </c>
      <c r="R195" s="35">
        <v>77.126666666666694</v>
      </c>
      <c r="S195" s="35">
        <v>133.8288888889</v>
      </c>
      <c r="T195" s="35">
        <v>85.718888888899997</v>
      </c>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row>
    <row r="196" spans="1:142" s="4" customFormat="1" ht="25.5" x14ac:dyDescent="0.2">
      <c r="A196" s="13">
        <v>193</v>
      </c>
      <c r="B196" s="37" t="s">
        <v>430</v>
      </c>
      <c r="C196" s="60" t="s">
        <v>731</v>
      </c>
      <c r="D196" s="37" t="s">
        <v>414</v>
      </c>
      <c r="E196" s="38">
        <v>23538661</v>
      </c>
      <c r="F196" s="39">
        <v>23538733</v>
      </c>
      <c r="G196" s="40" t="str">
        <f>HYPERLINK("http://genome.ucsc.edu/cgi-bin/hgTracks?position=chr13:23538511-23538883", "Go2UCSC")</f>
        <v>Go2UCSC</v>
      </c>
      <c r="H196" s="34">
        <v>159.47666666666674</v>
      </c>
      <c r="I196" s="34">
        <v>0</v>
      </c>
      <c r="J196" s="35">
        <v>159.47666666666674</v>
      </c>
      <c r="K196" s="36">
        <v>1</v>
      </c>
      <c r="L196" s="35">
        <v>42.755138516532639</v>
      </c>
      <c r="M196" s="34">
        <v>99.613333333333301</v>
      </c>
      <c r="N196" s="34">
        <v>91.6666666666667</v>
      </c>
      <c r="O196" s="34">
        <v>205.08</v>
      </c>
      <c r="P196" s="34">
        <v>241.54666666666699</v>
      </c>
      <c r="Q196" s="34">
        <v>0</v>
      </c>
      <c r="R196" s="34">
        <v>0</v>
      </c>
      <c r="S196" s="34">
        <v>0</v>
      </c>
      <c r="T196" s="34">
        <v>0</v>
      </c>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row>
    <row r="197" spans="1:142" ht="25.5" x14ac:dyDescent="0.2">
      <c r="A197" s="13">
        <v>194</v>
      </c>
      <c r="B197" s="37" t="s">
        <v>191</v>
      </c>
      <c r="C197" s="60" t="s">
        <v>732</v>
      </c>
      <c r="D197" s="37" t="s">
        <v>88</v>
      </c>
      <c r="E197" s="38">
        <v>97660220</v>
      </c>
      <c r="F197" s="39">
        <v>97660291</v>
      </c>
      <c r="G197" s="40" t="str">
        <f>HYPERLINK("http://genome.ucsc.edu/cgi-bin/hgTracks?position=chr11:97660070-97660441", "Go2UCSC")</f>
        <v>Go2UCSC</v>
      </c>
      <c r="H197" s="34">
        <v>156.32666666666677</v>
      </c>
      <c r="I197" s="34">
        <v>0</v>
      </c>
      <c r="J197" s="35">
        <v>156.32666666666677</v>
      </c>
      <c r="K197" s="36">
        <v>1</v>
      </c>
      <c r="L197" s="35">
        <v>42.023297491039457</v>
      </c>
      <c r="M197" s="34">
        <v>180.36</v>
      </c>
      <c r="N197" s="34">
        <v>107.44</v>
      </c>
      <c r="O197" s="34">
        <v>164.8</v>
      </c>
      <c r="P197" s="34">
        <v>172.70666666666699</v>
      </c>
      <c r="Q197" s="34">
        <v>0</v>
      </c>
      <c r="R197" s="34">
        <v>0</v>
      </c>
      <c r="S197" s="34">
        <v>0</v>
      </c>
      <c r="T197" s="34">
        <v>0</v>
      </c>
    </row>
    <row r="198" spans="1:142" s="4" customFormat="1" ht="25.5" x14ac:dyDescent="0.2">
      <c r="A198" s="13">
        <v>195</v>
      </c>
      <c r="B198" s="37" t="s">
        <v>5</v>
      </c>
      <c r="C198" s="60" t="s">
        <v>458</v>
      </c>
      <c r="D198" s="37" t="s">
        <v>30</v>
      </c>
      <c r="E198" s="38">
        <v>173004433</v>
      </c>
      <c r="F198" s="39">
        <v>173004503</v>
      </c>
      <c r="G198" s="40" t="str">
        <f>HYPERLINK("http://genome.ucsc.edu/cgi-bin/hgTracks?position=chr1:173004283-173004653", "Go2UCSC")</f>
        <v>Go2UCSC</v>
      </c>
      <c r="H198" s="34">
        <v>46.160000000000025</v>
      </c>
      <c r="I198" s="34">
        <v>105.50611111111112</v>
      </c>
      <c r="J198" s="35">
        <v>151.66611111111115</v>
      </c>
      <c r="K198" s="45">
        <v>0.30435276319693488</v>
      </c>
      <c r="L198" s="35">
        <v>40.880353399221335</v>
      </c>
      <c r="M198" s="34">
        <v>40.68</v>
      </c>
      <c r="N198" s="34">
        <v>32.186666666666703</v>
      </c>
      <c r="O198" s="34">
        <v>50.106666666666698</v>
      </c>
      <c r="P198" s="34">
        <v>61.6666666666667</v>
      </c>
      <c r="Q198" s="34">
        <v>78.8888888888889</v>
      </c>
      <c r="R198" s="34">
        <v>77.615555555555602</v>
      </c>
      <c r="S198" s="34">
        <v>130.1111111111</v>
      </c>
      <c r="T198" s="34">
        <v>135.40888888890001</v>
      </c>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row>
    <row r="199" spans="1:142" ht="25.5" x14ac:dyDescent="0.2">
      <c r="A199" s="13">
        <v>196</v>
      </c>
      <c r="B199" s="37" t="s">
        <v>188</v>
      </c>
      <c r="C199" s="60" t="s">
        <v>459</v>
      </c>
      <c r="D199" s="37" t="s">
        <v>252</v>
      </c>
      <c r="E199" s="38">
        <v>96213992</v>
      </c>
      <c r="F199" s="39">
        <v>96214063</v>
      </c>
      <c r="G199" s="40" t="str">
        <f>HYPERLINK("http://genome.ucsc.edu/cgi-bin/hgTracks?position=chr3:96213842-96214213", "Go2UCSC")</f>
        <v>Go2UCSC</v>
      </c>
      <c r="H199" s="34">
        <v>144.16999999999999</v>
      </c>
      <c r="I199" s="34">
        <v>3.875</v>
      </c>
      <c r="J199" s="35">
        <v>148.04499999999999</v>
      </c>
      <c r="K199" s="36">
        <v>0.97382552602249317</v>
      </c>
      <c r="L199" s="35">
        <v>39.797043010752681</v>
      </c>
      <c r="M199" s="34">
        <v>135.46666666666701</v>
      </c>
      <c r="N199" s="34">
        <v>104.8</v>
      </c>
      <c r="O199" s="34">
        <v>165.773333333333</v>
      </c>
      <c r="P199" s="34">
        <v>170.64</v>
      </c>
      <c r="Q199" s="34">
        <v>2.75</v>
      </c>
      <c r="R199" s="34">
        <v>3.125</v>
      </c>
      <c r="S199" s="34">
        <v>4.875</v>
      </c>
      <c r="T199" s="34">
        <v>4.75</v>
      </c>
    </row>
    <row r="200" spans="1:142" ht="25.5" x14ac:dyDescent="0.2">
      <c r="A200" s="13">
        <v>197</v>
      </c>
      <c r="B200" s="37" t="s">
        <v>193</v>
      </c>
      <c r="C200" s="60" t="s">
        <v>460</v>
      </c>
      <c r="D200" s="37" t="s">
        <v>414</v>
      </c>
      <c r="E200" s="38">
        <v>21259473</v>
      </c>
      <c r="F200" s="39">
        <v>21259545</v>
      </c>
      <c r="G200" s="40" t="str">
        <f>HYPERLINK("http://genome.ucsc.edu/cgi-bin/hgTracks?position=chr13:21259323-21259695", "Go2UCSC")</f>
        <v>Go2UCSC</v>
      </c>
      <c r="H200" s="34">
        <v>138.49666666666684</v>
      </c>
      <c r="I200" s="34">
        <v>0.875</v>
      </c>
      <c r="J200" s="35">
        <v>139.37166666666684</v>
      </c>
      <c r="K200" s="36">
        <v>0.99372182294344857</v>
      </c>
      <c r="L200" s="35">
        <v>37.365058087578241</v>
      </c>
      <c r="M200" s="34">
        <v>149.30666666666701</v>
      </c>
      <c r="N200" s="34">
        <v>80.173333333333304</v>
      </c>
      <c r="O200" s="34">
        <v>173.72</v>
      </c>
      <c r="P200" s="34">
        <v>150.786666666667</v>
      </c>
      <c r="Q200" s="34">
        <v>1</v>
      </c>
      <c r="R200" s="34">
        <v>1.5</v>
      </c>
      <c r="S200" s="34">
        <v>0</v>
      </c>
      <c r="T200" s="34">
        <v>1</v>
      </c>
    </row>
    <row r="201" spans="1:142" ht="25.5" x14ac:dyDescent="0.2">
      <c r="A201" s="13">
        <v>198</v>
      </c>
      <c r="B201" s="37" t="s">
        <v>500</v>
      </c>
      <c r="C201" s="60" t="s">
        <v>461</v>
      </c>
      <c r="D201" s="37" t="s">
        <v>414</v>
      </c>
      <c r="E201" s="38">
        <v>23555404</v>
      </c>
      <c r="F201" s="39">
        <v>23555475</v>
      </c>
      <c r="G201" s="40" t="str">
        <f>HYPERLINK("http://genome.ucsc.edu/cgi-bin/hgTracks?position=chr13:23555254-23555625", "Go2UCSC")</f>
        <v>Go2UCSC</v>
      </c>
      <c r="H201" s="34">
        <v>133.80999999999992</v>
      </c>
      <c r="I201" s="34">
        <v>2.4166666666666652</v>
      </c>
      <c r="J201" s="35">
        <v>136.22666666666657</v>
      </c>
      <c r="K201" s="36">
        <v>0.98225995889204276</v>
      </c>
      <c r="L201" s="35">
        <v>36.620071684587785</v>
      </c>
      <c r="M201" s="34">
        <v>98.373333333333306</v>
      </c>
      <c r="N201" s="34">
        <v>67.893333333333302</v>
      </c>
      <c r="O201" s="34">
        <v>182.64</v>
      </c>
      <c r="P201" s="34">
        <v>186.333333333333</v>
      </c>
      <c r="Q201" s="34">
        <v>2.3333333333333299</v>
      </c>
      <c r="R201" s="34">
        <v>1.3333333333333299</v>
      </c>
      <c r="S201" s="34">
        <v>3</v>
      </c>
      <c r="T201" s="34">
        <v>3</v>
      </c>
    </row>
    <row r="202" spans="1:142" ht="25.5" x14ac:dyDescent="0.2">
      <c r="A202" s="13">
        <v>199</v>
      </c>
      <c r="B202" s="37" t="s">
        <v>196</v>
      </c>
      <c r="C202" s="60" t="s">
        <v>462</v>
      </c>
      <c r="D202" s="37" t="s">
        <v>179</v>
      </c>
      <c r="E202" s="38">
        <v>29338824</v>
      </c>
      <c r="F202" s="39">
        <v>29338895</v>
      </c>
      <c r="G202" s="40" t="str">
        <f>HYPERLINK("http://genome.ucsc.edu/cgi-bin/hgTracks?position=chr6:29338674-29339045", "Go2UCSC")</f>
        <v>Go2UCSC</v>
      </c>
      <c r="H202" s="34">
        <v>123.19999999999992</v>
      </c>
      <c r="I202" s="34">
        <v>0</v>
      </c>
      <c r="J202" s="35">
        <v>123.19999999999992</v>
      </c>
      <c r="K202" s="36">
        <v>1</v>
      </c>
      <c r="L202" s="35">
        <v>33.118279569892451</v>
      </c>
      <c r="M202" s="34">
        <v>114.36</v>
      </c>
      <c r="N202" s="34">
        <v>58.3466666666667</v>
      </c>
      <c r="O202" s="34">
        <v>164.97333333333299</v>
      </c>
      <c r="P202" s="34">
        <v>155.12</v>
      </c>
      <c r="Q202" s="34">
        <v>0</v>
      </c>
      <c r="R202" s="34">
        <v>0</v>
      </c>
      <c r="S202" s="34">
        <v>0</v>
      </c>
      <c r="T202" s="34">
        <v>0</v>
      </c>
    </row>
    <row r="203" spans="1:142" ht="25.5" x14ac:dyDescent="0.2">
      <c r="A203" s="13">
        <v>200</v>
      </c>
      <c r="B203" s="37" t="s">
        <v>4</v>
      </c>
      <c r="C203" s="60" t="s">
        <v>463</v>
      </c>
      <c r="D203" s="37" t="s">
        <v>414</v>
      </c>
      <c r="E203" s="38">
        <v>21264706</v>
      </c>
      <c r="F203" s="39">
        <v>21264811</v>
      </c>
      <c r="G203" s="40" t="str">
        <f>HYPERLINK("http://genome.ucsc.edu/cgi-bin/hgTracks?position=chr13:21264556-21264961", "Go2UCSC")</f>
        <v>Go2UCSC</v>
      </c>
      <c r="H203" s="34">
        <v>131.55000000000018</v>
      </c>
      <c r="I203" s="34">
        <v>0</v>
      </c>
      <c r="J203" s="35">
        <v>131.55000000000018</v>
      </c>
      <c r="K203" s="36">
        <v>1</v>
      </c>
      <c r="L203" s="35">
        <v>32.401477832512363</v>
      </c>
      <c r="M203" s="34">
        <v>108.786666666667</v>
      </c>
      <c r="N203" s="34">
        <v>73.106666666666698</v>
      </c>
      <c r="O203" s="34">
        <v>175.98666666666699</v>
      </c>
      <c r="P203" s="34">
        <v>168.32</v>
      </c>
      <c r="Q203" s="34">
        <v>0</v>
      </c>
      <c r="R203" s="34">
        <v>0</v>
      </c>
      <c r="S203" s="34">
        <v>0</v>
      </c>
      <c r="T203" s="34">
        <v>0</v>
      </c>
    </row>
    <row r="204" spans="1:142" s="4" customFormat="1" ht="25.5" x14ac:dyDescent="0.2">
      <c r="A204" s="13">
        <v>201</v>
      </c>
      <c r="B204" s="37" t="s">
        <v>48</v>
      </c>
      <c r="C204" s="60" t="s">
        <v>464</v>
      </c>
      <c r="D204" s="37" t="s">
        <v>252</v>
      </c>
      <c r="E204" s="38">
        <v>51162276</v>
      </c>
      <c r="F204" s="39">
        <v>51162347</v>
      </c>
      <c r="G204" s="40" t="str">
        <f>HYPERLINK("http://genome.ucsc.edu/cgi-bin/hgTracks?position=chr3:51162126-51162497", "Go2UCSC")</f>
        <v>Go2UCSC</v>
      </c>
      <c r="H204" s="34">
        <v>120.0033333333335</v>
      </c>
      <c r="I204" s="34">
        <v>0</v>
      </c>
      <c r="J204" s="35">
        <v>120.0033333333335</v>
      </c>
      <c r="K204" s="36">
        <v>1</v>
      </c>
      <c r="L204" s="35">
        <v>32.258960573476749</v>
      </c>
      <c r="M204" s="34">
        <v>149.70666666666699</v>
      </c>
      <c r="N204" s="34">
        <v>97.6</v>
      </c>
      <c r="O204" s="34">
        <v>127.72</v>
      </c>
      <c r="P204" s="34">
        <v>104.98666666666701</v>
      </c>
      <c r="Q204" s="34">
        <v>0</v>
      </c>
      <c r="R204" s="34">
        <v>0</v>
      </c>
      <c r="S204" s="34">
        <v>0</v>
      </c>
      <c r="T204" s="34">
        <v>0</v>
      </c>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row>
    <row r="205" spans="1:142" s="4" customFormat="1" ht="25.5" x14ac:dyDescent="0.2">
      <c r="A205" s="13">
        <v>202</v>
      </c>
      <c r="B205" s="37" t="s">
        <v>47</v>
      </c>
      <c r="C205" s="60" t="s">
        <v>465</v>
      </c>
      <c r="D205" s="37" t="s">
        <v>204</v>
      </c>
      <c r="E205" s="38">
        <v>71948611</v>
      </c>
      <c r="F205" s="39">
        <v>71948682</v>
      </c>
      <c r="G205" s="40" t="str">
        <f>HYPERLINK("http://genome.ucsc.edu/cgi-bin/hgTracks?position=chr17:71948461-71948832", "Go2UCSC")</f>
        <v>Go2UCSC</v>
      </c>
      <c r="H205" s="34">
        <v>119.67000000000002</v>
      </c>
      <c r="I205" s="34">
        <v>0</v>
      </c>
      <c r="J205" s="35">
        <v>119.67000000000002</v>
      </c>
      <c r="K205" s="36">
        <v>1</v>
      </c>
      <c r="L205" s="35">
        <v>32.16935483870968</v>
      </c>
      <c r="M205" s="34">
        <v>100.893333333333</v>
      </c>
      <c r="N205" s="34">
        <v>65.08</v>
      </c>
      <c r="O205" s="34">
        <v>167.84</v>
      </c>
      <c r="P205" s="34">
        <v>144.86666666666699</v>
      </c>
      <c r="Q205" s="34">
        <v>0</v>
      </c>
      <c r="R205" s="34">
        <v>0</v>
      </c>
      <c r="S205" s="34">
        <v>0</v>
      </c>
      <c r="T205" s="34">
        <v>0</v>
      </c>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row>
    <row r="206" spans="1:142" ht="25.5" x14ac:dyDescent="0.2">
      <c r="A206" s="13">
        <v>203</v>
      </c>
      <c r="B206" s="37" t="s">
        <v>503</v>
      </c>
      <c r="C206" s="60" t="s">
        <v>466</v>
      </c>
      <c r="D206" s="37" t="s">
        <v>414</v>
      </c>
      <c r="E206" s="38">
        <v>21947890</v>
      </c>
      <c r="F206" s="39">
        <v>21947963</v>
      </c>
      <c r="G206" s="40" t="str">
        <f>HYPERLINK("http://genome.ucsc.edu/cgi-bin/hgTracks?position=chr13:21947740-21948113", "Go2UCSC")</f>
        <v>Go2UCSC</v>
      </c>
      <c r="H206" s="34">
        <v>118.44333333333324</v>
      </c>
      <c r="I206" s="34">
        <v>0</v>
      </c>
      <c r="J206" s="35">
        <v>118.44333333333324</v>
      </c>
      <c r="K206" s="36">
        <v>1</v>
      </c>
      <c r="L206" s="35">
        <v>31.669340463458088</v>
      </c>
      <c r="M206" s="34">
        <v>133.32</v>
      </c>
      <c r="N206" s="34">
        <v>69.573333333333295</v>
      </c>
      <c r="O206" s="34">
        <v>93.466666666666697</v>
      </c>
      <c r="P206" s="34">
        <v>177.41333333333299</v>
      </c>
      <c r="Q206" s="34">
        <v>0</v>
      </c>
      <c r="R206" s="34">
        <v>0</v>
      </c>
      <c r="S206" s="34">
        <v>0</v>
      </c>
      <c r="T206" s="34">
        <v>0</v>
      </c>
    </row>
    <row r="207" spans="1:142" ht="25.5" x14ac:dyDescent="0.2">
      <c r="A207" s="13">
        <v>204</v>
      </c>
      <c r="B207" s="37" t="s">
        <v>195</v>
      </c>
      <c r="C207" s="60" t="s">
        <v>467</v>
      </c>
      <c r="D207" s="37" t="s">
        <v>414</v>
      </c>
      <c r="E207" s="38">
        <v>23517515</v>
      </c>
      <c r="F207" s="39">
        <v>23517603</v>
      </c>
      <c r="G207" s="40" t="str">
        <f>HYPERLINK("http://genome.ucsc.edu/cgi-bin/hgTracks?position=chr13:23517365-23517753", "Go2UCSC")</f>
        <v>Go2UCSC</v>
      </c>
      <c r="H207" s="34">
        <v>119.00666666666666</v>
      </c>
      <c r="I207" s="34">
        <v>0</v>
      </c>
      <c r="J207" s="35">
        <v>119.00666666666666</v>
      </c>
      <c r="K207" s="36">
        <v>1</v>
      </c>
      <c r="L207" s="35">
        <v>30.592973436161095</v>
      </c>
      <c r="M207" s="34">
        <v>120.573333333333</v>
      </c>
      <c r="N207" s="34">
        <v>70.146666666666704</v>
      </c>
      <c r="O207" s="34">
        <v>123.026666666667</v>
      </c>
      <c r="P207" s="34">
        <v>162.28</v>
      </c>
      <c r="Q207" s="34">
        <v>0</v>
      </c>
      <c r="R207" s="34">
        <v>0</v>
      </c>
      <c r="S207" s="34">
        <v>0</v>
      </c>
      <c r="T207" s="34">
        <v>0</v>
      </c>
    </row>
    <row r="208" spans="1:142" s="4" customFormat="1" ht="25.5" x14ac:dyDescent="0.2">
      <c r="A208" s="13">
        <v>205</v>
      </c>
      <c r="B208" s="40" t="s">
        <v>197</v>
      </c>
      <c r="C208" s="62" t="s">
        <v>468</v>
      </c>
      <c r="D208" s="40" t="s">
        <v>30</v>
      </c>
      <c r="E208" s="38">
        <v>173003124</v>
      </c>
      <c r="F208" s="38">
        <v>173003195</v>
      </c>
      <c r="G208" s="40" t="str">
        <f>HYPERLINK("http://genome.ucsc.edu/cgi-bin/hgTracks?position=chr1:173002974-173003345", "Go2UCSC")</f>
        <v>Go2UCSC</v>
      </c>
      <c r="H208" s="35">
        <v>0</v>
      </c>
      <c r="I208" s="35">
        <v>113.79388888889451</v>
      </c>
      <c r="J208" s="35">
        <v>113.79388888889451</v>
      </c>
      <c r="K208" s="43">
        <v>0</v>
      </c>
      <c r="L208" s="35">
        <v>30.589755077659813</v>
      </c>
      <c r="M208" s="35">
        <v>0</v>
      </c>
      <c r="N208" s="35">
        <v>0</v>
      </c>
      <c r="O208" s="35">
        <v>0</v>
      </c>
      <c r="P208" s="35">
        <v>0</v>
      </c>
      <c r="Q208" s="35">
        <v>105.167777777778</v>
      </c>
      <c r="R208" s="35">
        <v>88.960000000000093</v>
      </c>
      <c r="S208" s="35">
        <v>155.1622222222</v>
      </c>
      <c r="T208" s="35">
        <v>105.88555555560001</v>
      </c>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row>
    <row r="209" spans="1:142" ht="25.5" x14ac:dyDescent="0.2">
      <c r="A209" s="13">
        <v>206</v>
      </c>
      <c r="B209" s="40" t="s">
        <v>173</v>
      </c>
      <c r="C209" s="62" t="s">
        <v>469</v>
      </c>
      <c r="D209" s="40" t="s">
        <v>30</v>
      </c>
      <c r="E209" s="38">
        <v>173010738</v>
      </c>
      <c r="F209" s="38">
        <v>173010809</v>
      </c>
      <c r="G209" s="40" t="str">
        <f>HYPERLINK("http://genome.ucsc.edu/cgi-bin/hgTracks?position=chr1:173010588-173010959", "Go2UCSC")</f>
        <v>Go2UCSC</v>
      </c>
      <c r="H209" s="35">
        <v>0</v>
      </c>
      <c r="I209" s="35">
        <v>113.79388888889449</v>
      </c>
      <c r="J209" s="35">
        <v>113.79388888889449</v>
      </c>
      <c r="K209" s="43">
        <v>0</v>
      </c>
      <c r="L209" s="35">
        <v>30.58975507765981</v>
      </c>
      <c r="M209" s="35">
        <v>0</v>
      </c>
      <c r="N209" s="35">
        <v>0</v>
      </c>
      <c r="O209" s="35">
        <v>0</v>
      </c>
      <c r="P209" s="35">
        <v>0</v>
      </c>
      <c r="Q209" s="35">
        <v>105.167777777778</v>
      </c>
      <c r="R209" s="35">
        <v>88.96</v>
      </c>
      <c r="S209" s="35">
        <v>155.1622222222</v>
      </c>
      <c r="T209" s="35">
        <v>105.88555555560001</v>
      </c>
    </row>
    <row r="210" spans="1:142" ht="25.5" x14ac:dyDescent="0.2">
      <c r="A210" s="13">
        <v>207</v>
      </c>
      <c r="B210" s="37" t="s">
        <v>3</v>
      </c>
      <c r="C210" s="60" t="s">
        <v>470</v>
      </c>
      <c r="D210" s="37" t="s">
        <v>414</v>
      </c>
      <c r="E210" s="38">
        <v>23528863</v>
      </c>
      <c r="F210" s="39">
        <v>23528934</v>
      </c>
      <c r="G210" s="40" t="str">
        <f>HYPERLINK("http://genome.ucsc.edu/cgi-bin/hgTracks?position=chr13:23528713-23529084", "Go2UCSC")</f>
        <v>Go2UCSC</v>
      </c>
      <c r="H210" s="34">
        <v>110.81333333333335</v>
      </c>
      <c r="I210" s="34">
        <v>0.5</v>
      </c>
      <c r="J210" s="35">
        <v>111.31333333333335</v>
      </c>
      <c r="K210" s="36">
        <v>0.99550817512127932</v>
      </c>
      <c r="L210" s="35">
        <v>29.922939068100359</v>
      </c>
      <c r="M210" s="34">
        <v>99.986666666666693</v>
      </c>
      <c r="N210" s="34">
        <v>57.706666666666699</v>
      </c>
      <c r="O210" s="34">
        <v>137.24</v>
      </c>
      <c r="P210" s="34">
        <v>148.32</v>
      </c>
      <c r="Q210" s="34">
        <v>1</v>
      </c>
      <c r="R210" s="34">
        <v>0.5</v>
      </c>
      <c r="S210" s="34">
        <v>0</v>
      </c>
      <c r="T210" s="34">
        <v>0.5</v>
      </c>
    </row>
    <row r="211" spans="1:142" ht="25.5" x14ac:dyDescent="0.2">
      <c r="A211" s="13">
        <v>208</v>
      </c>
      <c r="B211" s="37" t="s">
        <v>190</v>
      </c>
      <c r="C211" s="60" t="s">
        <v>471</v>
      </c>
      <c r="D211" s="37" t="s">
        <v>261</v>
      </c>
      <c r="E211" s="38">
        <v>51702505</v>
      </c>
      <c r="F211" s="39">
        <v>51702586</v>
      </c>
      <c r="G211" s="40" t="str">
        <f>HYPERLINK("http://genome.ucsc.edu/cgi-bin/hgTracks?position=chr14:51702355-51702736", "Go2UCSC")</f>
        <v>Go2UCSC</v>
      </c>
      <c r="H211" s="34">
        <v>111.83333333333334</v>
      </c>
      <c r="I211" s="34">
        <v>0</v>
      </c>
      <c r="J211" s="35">
        <v>111.83333333333334</v>
      </c>
      <c r="K211" s="36">
        <v>1</v>
      </c>
      <c r="L211" s="35">
        <v>29.275741710296685</v>
      </c>
      <c r="M211" s="34">
        <v>75.266666666666694</v>
      </c>
      <c r="N211" s="34">
        <v>67.6666666666667</v>
      </c>
      <c r="O211" s="34">
        <v>139.81333333333299</v>
      </c>
      <c r="P211" s="34">
        <v>164.58666666666699</v>
      </c>
      <c r="Q211" s="34">
        <v>0</v>
      </c>
      <c r="R211" s="34">
        <v>0</v>
      </c>
      <c r="S211" s="34">
        <v>0</v>
      </c>
      <c r="T211" s="34">
        <v>0</v>
      </c>
    </row>
    <row r="212" spans="1:142" ht="25.5" x14ac:dyDescent="0.2">
      <c r="A212" s="11">
        <v>209</v>
      </c>
      <c r="B212" s="37" t="s">
        <v>504</v>
      </c>
      <c r="C212" s="60" t="s">
        <v>472</v>
      </c>
      <c r="D212" s="37" t="s">
        <v>88</v>
      </c>
      <c r="E212" s="38">
        <v>68938109</v>
      </c>
      <c r="F212" s="39">
        <v>68938180</v>
      </c>
      <c r="G212" s="40" t="str">
        <f>HYPERLINK("http://genome.ucsc.edu/cgi-bin/hgTracks?position=chr11:68937967-68938330", "Go2UCSC")</f>
        <v>Go2UCSC</v>
      </c>
      <c r="H212" s="34">
        <v>99.493333333333425</v>
      </c>
      <c r="I212" s="34">
        <v>0</v>
      </c>
      <c r="J212" s="35">
        <v>99.493333333333425</v>
      </c>
      <c r="K212" s="36">
        <v>1</v>
      </c>
      <c r="L212" s="35">
        <v>27.333333333333361</v>
      </c>
      <c r="M212" s="34">
        <v>93.16</v>
      </c>
      <c r="N212" s="34">
        <v>59.946666666666701</v>
      </c>
      <c r="O212" s="34">
        <v>117.84</v>
      </c>
      <c r="P212" s="34">
        <v>127.026666666667</v>
      </c>
      <c r="Q212" s="34">
        <v>0</v>
      </c>
      <c r="R212" s="34">
        <v>0</v>
      </c>
      <c r="S212" s="34">
        <v>0</v>
      </c>
      <c r="T212" s="34">
        <v>0</v>
      </c>
    </row>
    <row r="213" spans="1:142" ht="25.5" x14ac:dyDescent="0.2">
      <c r="A213" s="11">
        <v>210</v>
      </c>
      <c r="B213" s="37" t="s">
        <v>320</v>
      </c>
      <c r="C213" s="60" t="s">
        <v>473</v>
      </c>
      <c r="D213" s="37" t="s">
        <v>30</v>
      </c>
      <c r="E213" s="38">
        <v>74863321</v>
      </c>
      <c r="F213" s="39">
        <v>74863391</v>
      </c>
      <c r="G213" s="40" t="str">
        <f>HYPERLINK("http://genome.ucsc.edu/cgi-bin/hgTracks?position=chr1:74863171-74863541", "Go2UCSC")</f>
        <v>Go2UCSC</v>
      </c>
      <c r="H213" s="34">
        <v>100.59666666666666</v>
      </c>
      <c r="I213" s="34">
        <v>0</v>
      </c>
      <c r="J213" s="35">
        <v>100.59666666666666</v>
      </c>
      <c r="K213" s="36">
        <v>1</v>
      </c>
      <c r="L213" s="35">
        <v>27.115004492362981</v>
      </c>
      <c r="M213" s="34">
        <v>82.573333333333295</v>
      </c>
      <c r="N213" s="34">
        <v>61.773333333333298</v>
      </c>
      <c r="O213" s="34">
        <v>125.706666666667</v>
      </c>
      <c r="P213" s="34">
        <v>132.333333333333</v>
      </c>
      <c r="Q213" s="34">
        <v>0</v>
      </c>
      <c r="R213" s="34">
        <v>0</v>
      </c>
      <c r="S213" s="34">
        <v>0</v>
      </c>
      <c r="T213" s="34">
        <v>0</v>
      </c>
    </row>
    <row r="214" spans="1:142" s="4" customFormat="1" ht="25.5" x14ac:dyDescent="0.2">
      <c r="A214" s="11">
        <v>211</v>
      </c>
      <c r="B214" s="40" t="s">
        <v>174</v>
      </c>
      <c r="C214" s="62" t="s">
        <v>474</v>
      </c>
      <c r="D214" s="40" t="s">
        <v>204</v>
      </c>
      <c r="E214" s="38">
        <v>23670929</v>
      </c>
      <c r="F214" s="38">
        <v>23671001</v>
      </c>
      <c r="G214" s="40" t="str">
        <f>HYPERLINK("http://genome.ucsc.edu/cgi-bin/hgTracks?position=chr17:23670779-23671151", "Go2UCSC")</f>
        <v>Go2UCSC</v>
      </c>
      <c r="H214" s="35">
        <v>38.046666666666674</v>
      </c>
      <c r="I214" s="35">
        <v>55.508333333325005</v>
      </c>
      <c r="J214" s="35">
        <v>93.554999999991679</v>
      </c>
      <c r="K214" s="43">
        <v>0.40667699926962814</v>
      </c>
      <c r="L214" s="35">
        <v>25.081769436995092</v>
      </c>
      <c r="M214" s="35">
        <v>26.786666666666701</v>
      </c>
      <c r="N214" s="35">
        <v>24.48</v>
      </c>
      <c r="O214" s="35">
        <v>42.546666666666702</v>
      </c>
      <c r="P214" s="35">
        <v>58.373333333333299</v>
      </c>
      <c r="Q214" s="35">
        <v>50.4866666666667</v>
      </c>
      <c r="R214" s="35">
        <v>35.873333333333299</v>
      </c>
      <c r="S214" s="35">
        <v>71.053333333300003</v>
      </c>
      <c r="T214" s="35">
        <v>64.62</v>
      </c>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row>
    <row r="215" spans="1:142" s="4" customFormat="1" ht="25.5" x14ac:dyDescent="0.2">
      <c r="A215" s="11">
        <v>212</v>
      </c>
      <c r="B215" s="37" t="s">
        <v>506</v>
      </c>
      <c r="C215" s="60" t="s">
        <v>475</v>
      </c>
      <c r="D215" s="37" t="s">
        <v>414</v>
      </c>
      <c r="E215" s="38">
        <v>21351637</v>
      </c>
      <c r="F215" s="39">
        <v>21351708</v>
      </c>
      <c r="G215" s="40" t="str">
        <f>HYPERLINK("http://genome.ucsc.edu/cgi-bin/hgTracks?position=chr13:21351487-21351858", "Go2UCSC")</f>
        <v>Go2UCSC</v>
      </c>
      <c r="H215" s="34">
        <v>90.503333333333245</v>
      </c>
      <c r="I215" s="34">
        <v>0</v>
      </c>
      <c r="J215" s="35">
        <v>90.503333333333245</v>
      </c>
      <c r="K215" s="36">
        <v>1</v>
      </c>
      <c r="L215" s="35">
        <v>24.328853046594958</v>
      </c>
      <c r="M215" s="34">
        <v>58.52</v>
      </c>
      <c r="N215" s="34">
        <v>34.92</v>
      </c>
      <c r="O215" s="34">
        <v>132.72</v>
      </c>
      <c r="P215" s="34">
        <v>135.85333333333301</v>
      </c>
      <c r="Q215" s="34">
        <v>0</v>
      </c>
      <c r="R215" s="34">
        <v>0</v>
      </c>
      <c r="S215" s="34">
        <v>0</v>
      </c>
      <c r="T215" s="34">
        <v>0</v>
      </c>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row>
    <row r="216" spans="1:142" s="4" customFormat="1" ht="25.5" x14ac:dyDescent="0.2">
      <c r="A216" s="11">
        <v>213</v>
      </c>
      <c r="B216" s="37" t="s">
        <v>172</v>
      </c>
      <c r="C216" s="60" t="s">
        <v>476</v>
      </c>
      <c r="D216" s="37" t="s">
        <v>88</v>
      </c>
      <c r="E216" s="38">
        <v>68936984</v>
      </c>
      <c r="F216" s="39">
        <v>68937070</v>
      </c>
      <c r="G216" s="40" t="str">
        <f>HYPERLINK("http://genome.ucsc.edu/cgi-bin/hgTracks?position=chr11:68936834-68937220", "Go2UCSC")</f>
        <v>Go2UCSC</v>
      </c>
      <c r="H216" s="34">
        <v>93.296666666666752</v>
      </c>
      <c r="I216" s="34">
        <v>0</v>
      </c>
      <c r="J216" s="35">
        <v>93.296666666666752</v>
      </c>
      <c r="K216" s="36">
        <v>1</v>
      </c>
      <c r="L216" s="35">
        <v>24.107665805340247</v>
      </c>
      <c r="M216" s="34">
        <v>75.64</v>
      </c>
      <c r="N216" s="34">
        <v>61.84</v>
      </c>
      <c r="O216" s="34">
        <v>106.88</v>
      </c>
      <c r="P216" s="34">
        <v>128.82666666666699</v>
      </c>
      <c r="Q216" s="34">
        <v>0</v>
      </c>
      <c r="R216" s="34">
        <v>0</v>
      </c>
      <c r="S216" s="34">
        <v>0</v>
      </c>
      <c r="T216" s="34">
        <v>0</v>
      </c>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row>
    <row r="217" spans="1:142" ht="25.5" x14ac:dyDescent="0.2">
      <c r="A217" s="11">
        <v>214</v>
      </c>
      <c r="B217" s="37" t="s">
        <v>6</v>
      </c>
      <c r="C217" s="60" t="s">
        <v>477</v>
      </c>
      <c r="D217" s="37" t="s">
        <v>414</v>
      </c>
      <c r="E217" s="38">
        <v>22028963</v>
      </c>
      <c r="F217" s="39">
        <v>22029044</v>
      </c>
      <c r="G217" s="40" t="str">
        <f>HYPERLINK("http://genome.ucsc.edu/cgi-bin/hgTracks?position=chr13:22028813-22029194", "Go2UCSC")</f>
        <v>Go2UCSC</v>
      </c>
      <c r="H217" s="34">
        <v>88.77</v>
      </c>
      <c r="I217" s="34">
        <v>0</v>
      </c>
      <c r="J217" s="35">
        <v>88.77</v>
      </c>
      <c r="K217" s="36">
        <v>1</v>
      </c>
      <c r="L217" s="35">
        <v>23.238219895287958</v>
      </c>
      <c r="M217" s="34">
        <v>70.413333333333298</v>
      </c>
      <c r="N217" s="34">
        <v>51.386666666666699</v>
      </c>
      <c r="O217" s="34">
        <v>132.96</v>
      </c>
      <c r="P217" s="34">
        <v>100.32</v>
      </c>
      <c r="Q217" s="34">
        <v>0</v>
      </c>
      <c r="R217" s="34">
        <v>0</v>
      </c>
      <c r="S217" s="34">
        <v>0</v>
      </c>
      <c r="T217" s="34">
        <v>0</v>
      </c>
    </row>
    <row r="218" spans="1:142" ht="25.5" x14ac:dyDescent="0.2">
      <c r="A218" s="11">
        <v>215</v>
      </c>
      <c r="B218" s="37" t="s">
        <v>524</v>
      </c>
      <c r="C218" s="60" t="s">
        <v>478</v>
      </c>
      <c r="D218" s="37" t="s">
        <v>54</v>
      </c>
      <c r="E218" s="38">
        <v>12086756</v>
      </c>
      <c r="F218" s="39">
        <v>12086828</v>
      </c>
      <c r="G218" s="40" t="str">
        <f>HYPERLINK("http://genome.ucsc.edu/cgi-bin/hgTracks?position=chr19:12086625-12086978", "Go2UCSC")</f>
        <v>Go2UCSC</v>
      </c>
      <c r="H218" s="35">
        <v>81.230000000000018</v>
      </c>
      <c r="I218" s="35">
        <v>0.75</v>
      </c>
      <c r="J218" s="35">
        <v>81.980000000000018</v>
      </c>
      <c r="K218" s="42">
        <v>0.9908514271773603</v>
      </c>
      <c r="L218" s="35">
        <v>23.158192090395485</v>
      </c>
      <c r="M218" s="34">
        <v>67.826666666666696</v>
      </c>
      <c r="N218" s="34">
        <v>43.426666666666698</v>
      </c>
      <c r="O218" s="34">
        <v>99.146666666666704</v>
      </c>
      <c r="P218" s="34">
        <v>114.52</v>
      </c>
      <c r="Q218" s="34">
        <v>1</v>
      </c>
      <c r="R218" s="34">
        <v>1</v>
      </c>
      <c r="S218" s="34">
        <v>0.5</v>
      </c>
      <c r="T218" s="34">
        <v>0.5</v>
      </c>
    </row>
    <row r="219" spans="1:142" ht="25.5" x14ac:dyDescent="0.2">
      <c r="A219" s="11">
        <v>216</v>
      </c>
      <c r="B219" s="40" t="s">
        <v>321</v>
      </c>
      <c r="C219" s="62" t="s">
        <v>479</v>
      </c>
      <c r="D219" s="40" t="s">
        <v>204</v>
      </c>
      <c r="E219" s="38">
        <v>23672299</v>
      </c>
      <c r="F219" s="38">
        <v>23672371</v>
      </c>
      <c r="G219" s="40" t="str">
        <f>HYPERLINK("http://genome.ucsc.edu/cgi-bin/hgTracks?position=chr17:23672149-23672521", "Go2UCSC")</f>
        <v>Go2UCSC</v>
      </c>
      <c r="H219" s="35">
        <v>25.81</v>
      </c>
      <c r="I219" s="35">
        <v>55.508333333325005</v>
      </c>
      <c r="J219" s="35">
        <v>81.318333333325</v>
      </c>
      <c r="K219" s="43">
        <v>0.31739460146341719</v>
      </c>
      <c r="L219" s="35">
        <v>21.801161751561661</v>
      </c>
      <c r="M219" s="35">
        <v>20.866666666666699</v>
      </c>
      <c r="N219" s="35">
        <v>13.6133333333333</v>
      </c>
      <c r="O219" s="35">
        <v>36.133333333333297</v>
      </c>
      <c r="P219" s="35">
        <v>32.626666666666701</v>
      </c>
      <c r="Q219" s="35">
        <v>50.4866666666667</v>
      </c>
      <c r="R219" s="35">
        <v>35.873333333333299</v>
      </c>
      <c r="S219" s="35">
        <v>71.053333333300003</v>
      </c>
      <c r="T219" s="35">
        <v>64.62</v>
      </c>
    </row>
    <row r="220" spans="1:142" ht="25.5" x14ac:dyDescent="0.2">
      <c r="A220" s="11">
        <v>217</v>
      </c>
      <c r="B220" s="40" t="s">
        <v>192</v>
      </c>
      <c r="C220" s="62" t="s">
        <v>480</v>
      </c>
      <c r="D220" s="40" t="s">
        <v>252</v>
      </c>
      <c r="E220" s="38">
        <v>96255348</v>
      </c>
      <c r="F220" s="38">
        <v>96255421</v>
      </c>
      <c r="G220" s="40" t="str">
        <f>HYPERLINK("http://genome.ucsc.edu/cgi-bin/hgTracks?position=chr3:96255198-96255571", "Go2UCSC")</f>
        <v>Go2UCSC</v>
      </c>
      <c r="H220" s="35">
        <v>0</v>
      </c>
      <c r="I220" s="35">
        <v>80.426666666658292</v>
      </c>
      <c r="J220" s="35">
        <v>80.426666666658292</v>
      </c>
      <c r="K220" s="43">
        <v>0</v>
      </c>
      <c r="L220" s="35">
        <v>21.504456327983501</v>
      </c>
      <c r="M220" s="35">
        <v>0</v>
      </c>
      <c r="N220" s="35">
        <v>0</v>
      </c>
      <c r="O220" s="35">
        <v>0</v>
      </c>
      <c r="P220" s="35">
        <v>0</v>
      </c>
      <c r="Q220" s="35">
        <v>74.199999999999903</v>
      </c>
      <c r="R220" s="35">
        <v>48.723333333333301</v>
      </c>
      <c r="S220" s="35">
        <v>115.97</v>
      </c>
      <c r="T220" s="35">
        <v>82.813333333299994</v>
      </c>
    </row>
    <row r="221" spans="1:142" s="4" customFormat="1" ht="25.5" x14ac:dyDescent="0.2">
      <c r="A221" s="11">
        <v>218</v>
      </c>
      <c r="B221" s="40" t="s">
        <v>526</v>
      </c>
      <c r="C221" s="62" t="s">
        <v>481</v>
      </c>
      <c r="D221" s="40" t="s">
        <v>252</v>
      </c>
      <c r="E221" s="38">
        <v>96263061</v>
      </c>
      <c r="F221" s="38">
        <v>96263134</v>
      </c>
      <c r="G221" s="40" t="str">
        <f>HYPERLINK("http://genome.ucsc.edu/cgi-bin/hgTracks?position=chr3:96262911-96263284", "Go2UCSC")</f>
        <v>Go2UCSC</v>
      </c>
      <c r="H221" s="35">
        <v>0</v>
      </c>
      <c r="I221" s="35">
        <v>80.426666666658292</v>
      </c>
      <c r="J221" s="35">
        <v>80.426666666658292</v>
      </c>
      <c r="K221" s="43">
        <v>0</v>
      </c>
      <c r="L221" s="35">
        <v>21.504456327983501</v>
      </c>
      <c r="M221" s="35">
        <v>0</v>
      </c>
      <c r="N221" s="35">
        <v>0</v>
      </c>
      <c r="O221" s="35">
        <v>0</v>
      </c>
      <c r="P221" s="35">
        <v>0</v>
      </c>
      <c r="Q221" s="35">
        <v>74.199999999999903</v>
      </c>
      <c r="R221" s="35">
        <v>48.723333333333301</v>
      </c>
      <c r="S221" s="35">
        <v>115.97</v>
      </c>
      <c r="T221" s="35">
        <v>82.813333333299994</v>
      </c>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row>
    <row r="222" spans="1:142" ht="25.5" x14ac:dyDescent="0.2">
      <c r="A222" s="11">
        <v>219</v>
      </c>
      <c r="B222" s="37" t="s">
        <v>499</v>
      </c>
      <c r="C222" s="60" t="s">
        <v>482</v>
      </c>
      <c r="D222" s="37" t="s">
        <v>252</v>
      </c>
      <c r="E222" s="38">
        <v>51163329</v>
      </c>
      <c r="F222" s="39">
        <v>51163400</v>
      </c>
      <c r="G222" s="40" t="str">
        <f>HYPERLINK("http://genome.ucsc.edu/cgi-bin/hgTracks?position=chr3:51163179-51163550", "Go2UCSC")</f>
        <v>Go2UCSC</v>
      </c>
      <c r="H222" s="34">
        <v>79.363333333333344</v>
      </c>
      <c r="I222" s="34">
        <v>0.5</v>
      </c>
      <c r="J222" s="35">
        <v>79.863333333333344</v>
      </c>
      <c r="K222" s="36">
        <v>0.99373930464543592</v>
      </c>
      <c r="L222" s="35">
        <v>21.468637992831543</v>
      </c>
      <c r="M222" s="34">
        <v>86.466666666666697</v>
      </c>
      <c r="N222" s="34">
        <v>34.426666666666698</v>
      </c>
      <c r="O222" s="34">
        <v>95.12</v>
      </c>
      <c r="P222" s="34">
        <v>101.44</v>
      </c>
      <c r="Q222" s="34">
        <v>1</v>
      </c>
      <c r="R222" s="34">
        <v>0.5</v>
      </c>
      <c r="S222" s="34">
        <v>0</v>
      </c>
      <c r="T222" s="34">
        <v>0.5</v>
      </c>
    </row>
    <row r="223" spans="1:142" s="4" customFormat="1" ht="25.5" x14ac:dyDescent="0.2">
      <c r="A223" s="11">
        <v>220</v>
      </c>
      <c r="B223" s="37" t="s">
        <v>121</v>
      </c>
      <c r="C223" s="60" t="s">
        <v>483</v>
      </c>
      <c r="D223" s="37" t="s">
        <v>414</v>
      </c>
      <c r="E223" s="38">
        <v>23391991</v>
      </c>
      <c r="F223" s="39">
        <v>23392063</v>
      </c>
      <c r="G223" s="40" t="str">
        <f>HYPERLINK("http://genome.ucsc.edu/cgi-bin/hgTracks?position=chr13:23391841-23392213", "Go2UCSC")</f>
        <v>Go2UCSC</v>
      </c>
      <c r="H223" s="34">
        <v>69.87</v>
      </c>
      <c r="I223" s="34">
        <v>0</v>
      </c>
      <c r="J223" s="35">
        <v>69.87</v>
      </c>
      <c r="K223" s="36">
        <v>1</v>
      </c>
      <c r="L223" s="35">
        <v>18.731903485254691</v>
      </c>
      <c r="M223" s="34">
        <v>69.48</v>
      </c>
      <c r="N223" s="34">
        <v>26.44</v>
      </c>
      <c r="O223" s="34">
        <v>113.56</v>
      </c>
      <c r="P223" s="34">
        <v>70</v>
      </c>
      <c r="Q223" s="34">
        <v>0</v>
      </c>
      <c r="R223" s="34">
        <v>0</v>
      </c>
      <c r="S223" s="34">
        <v>0</v>
      </c>
      <c r="T223" s="34">
        <v>0</v>
      </c>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row>
    <row r="224" spans="1:142" s="4" customFormat="1" ht="25.5" x14ac:dyDescent="0.2">
      <c r="A224" s="11">
        <v>221</v>
      </c>
      <c r="B224" s="40" t="s">
        <v>117</v>
      </c>
      <c r="C224" s="62" t="s">
        <v>484</v>
      </c>
      <c r="D224" s="40" t="s">
        <v>30</v>
      </c>
      <c r="E224" s="38">
        <v>172996115</v>
      </c>
      <c r="F224" s="38">
        <v>172996197</v>
      </c>
      <c r="G224" s="40" t="str">
        <f>HYPERLINK("http://genome.ucsc.edu/cgi-bin/hgTracks?position=chr1:172995965-172996347", "Go2UCSC")</f>
        <v>Go2UCSC</v>
      </c>
      <c r="H224" s="35">
        <v>17.986666666666675</v>
      </c>
      <c r="I224" s="35">
        <v>50.685972222208328</v>
      </c>
      <c r="J224" s="35">
        <v>68.672638888874999</v>
      </c>
      <c r="K224" s="43">
        <v>0.26191896740377812</v>
      </c>
      <c r="L224" s="35">
        <v>17.930192921377284</v>
      </c>
      <c r="M224" s="35">
        <v>16.213333333333299</v>
      </c>
      <c r="N224" s="35">
        <v>15.2</v>
      </c>
      <c r="O224" s="35">
        <v>29.386666666666699</v>
      </c>
      <c r="P224" s="35">
        <v>11.1466666666667</v>
      </c>
      <c r="Q224" s="35">
        <v>37.723333333333301</v>
      </c>
      <c r="R224" s="35">
        <v>42.844999999999999</v>
      </c>
      <c r="S224" s="35">
        <v>64.296111111100004</v>
      </c>
      <c r="T224" s="35">
        <v>57.879444444400001</v>
      </c>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row>
    <row r="225" spans="1:142" ht="25.5" x14ac:dyDescent="0.2">
      <c r="A225" s="11">
        <v>222</v>
      </c>
      <c r="B225" s="37" t="s">
        <v>115</v>
      </c>
      <c r="C225" s="60" t="s">
        <v>485</v>
      </c>
      <c r="D225" s="37" t="s">
        <v>414</v>
      </c>
      <c r="E225" s="38">
        <v>23592826</v>
      </c>
      <c r="F225" s="39">
        <v>23592907</v>
      </c>
      <c r="G225" s="40" t="str">
        <f>HYPERLINK("http://genome.ucsc.edu/cgi-bin/hgTracks?position=chr13:23592676-23593057", "Go2UCSC")</f>
        <v>Go2UCSC</v>
      </c>
      <c r="H225" s="34">
        <v>56.72</v>
      </c>
      <c r="I225" s="34">
        <v>9.2061111111277754</v>
      </c>
      <c r="J225" s="35">
        <v>65.926111111127767</v>
      </c>
      <c r="K225" s="36">
        <v>0.86035713382805834</v>
      </c>
      <c r="L225" s="35">
        <v>17.258144269928735</v>
      </c>
      <c r="M225" s="34">
        <v>47.626666666666701</v>
      </c>
      <c r="N225" s="34">
        <v>29.426666666666701</v>
      </c>
      <c r="O225" s="34">
        <v>93.413333333333298</v>
      </c>
      <c r="P225" s="34">
        <v>56.413333333333298</v>
      </c>
      <c r="Q225" s="34">
        <v>8.3244444444444401</v>
      </c>
      <c r="R225" s="34">
        <v>6.7666666666666604</v>
      </c>
      <c r="S225" s="34">
        <v>10.166666666699999</v>
      </c>
      <c r="T225" s="34">
        <v>11.5666666667</v>
      </c>
    </row>
    <row r="226" spans="1:142" ht="25.5" x14ac:dyDescent="0.2">
      <c r="A226" s="11">
        <v>223</v>
      </c>
      <c r="B226" s="37" t="s">
        <v>122</v>
      </c>
      <c r="C226" s="60" t="s">
        <v>486</v>
      </c>
      <c r="D226" s="37" t="s">
        <v>252</v>
      </c>
      <c r="E226" s="38">
        <v>96202982</v>
      </c>
      <c r="F226" s="39">
        <v>96203053</v>
      </c>
      <c r="G226" s="40" t="str">
        <f>HYPERLINK("http://genome.ucsc.edu/cgi-bin/hgTracks?position=chr3:96202832-96203203", "Go2UCSC")</f>
        <v>Go2UCSC</v>
      </c>
      <c r="H226" s="34">
        <v>59.606666666666655</v>
      </c>
      <c r="I226" s="34">
        <v>0.75</v>
      </c>
      <c r="J226" s="35">
        <v>60.356666666666655</v>
      </c>
      <c r="K226" s="36">
        <v>0.98757386646048484</v>
      </c>
      <c r="L226" s="35">
        <v>16.22491039426523</v>
      </c>
      <c r="M226" s="34">
        <v>44.293333333333301</v>
      </c>
      <c r="N226" s="34">
        <v>28.6533333333333</v>
      </c>
      <c r="O226" s="34">
        <v>89.28</v>
      </c>
      <c r="P226" s="34">
        <v>76.2</v>
      </c>
      <c r="Q226" s="34">
        <v>1</v>
      </c>
      <c r="R226" s="34">
        <v>1</v>
      </c>
      <c r="S226" s="34">
        <v>0</v>
      </c>
      <c r="T226" s="34">
        <v>1</v>
      </c>
    </row>
    <row r="227" spans="1:142" ht="25.5" x14ac:dyDescent="0.2">
      <c r="A227" s="11">
        <v>224</v>
      </c>
      <c r="B227" s="37" t="s">
        <v>116</v>
      </c>
      <c r="C227" s="60" t="s">
        <v>487</v>
      </c>
      <c r="D227" s="37" t="s">
        <v>414</v>
      </c>
      <c r="E227" s="38">
        <v>22012069</v>
      </c>
      <c r="F227" s="39">
        <v>22012140</v>
      </c>
      <c r="G227" s="40" t="str">
        <f>HYPERLINK("http://genome.ucsc.edu/cgi-bin/hgTracks?position=chr13:22011919-22012290", "Go2UCSC")</f>
        <v>Go2UCSC</v>
      </c>
      <c r="H227" s="34">
        <v>60.139999999999993</v>
      </c>
      <c r="I227" s="34">
        <v>0</v>
      </c>
      <c r="J227" s="35">
        <v>60.139999999999993</v>
      </c>
      <c r="K227" s="36">
        <v>1</v>
      </c>
      <c r="L227" s="35">
        <v>16.166666666666664</v>
      </c>
      <c r="M227" s="34">
        <v>46.8</v>
      </c>
      <c r="N227" s="34">
        <v>29.626666666666701</v>
      </c>
      <c r="O227" s="34">
        <v>74.973333333333301</v>
      </c>
      <c r="P227" s="34">
        <v>89.16</v>
      </c>
      <c r="Q227" s="34">
        <v>0</v>
      </c>
      <c r="R227" s="34">
        <v>0</v>
      </c>
      <c r="S227" s="34">
        <v>0</v>
      </c>
      <c r="T227" s="34">
        <v>0</v>
      </c>
    </row>
    <row r="228" spans="1:142" ht="25.5" x14ac:dyDescent="0.2">
      <c r="A228" s="11">
        <v>225</v>
      </c>
      <c r="B228" s="37" t="s">
        <v>61</v>
      </c>
      <c r="C228" s="60" t="s">
        <v>488</v>
      </c>
      <c r="D228" s="37" t="s">
        <v>414</v>
      </c>
      <c r="E228" s="38">
        <v>21332814</v>
      </c>
      <c r="F228" s="39">
        <v>21332885</v>
      </c>
      <c r="G228" s="40" t="str">
        <f>HYPERLINK("http://genome.ucsc.edu/cgi-bin/hgTracks?position=chr13:21332664-21333035", "Go2UCSC")</f>
        <v>Go2UCSC</v>
      </c>
      <c r="H228" s="34">
        <v>59.27666666666665</v>
      </c>
      <c r="I228" s="34">
        <v>0</v>
      </c>
      <c r="J228" s="35">
        <v>59.27666666666665</v>
      </c>
      <c r="K228" s="36">
        <v>1</v>
      </c>
      <c r="L228" s="35">
        <v>15.934587813620068</v>
      </c>
      <c r="M228" s="34">
        <v>38.893333333333302</v>
      </c>
      <c r="N228" s="34">
        <v>30.64</v>
      </c>
      <c r="O228" s="34">
        <v>76.599999999999994</v>
      </c>
      <c r="P228" s="34">
        <v>90.973333333333301</v>
      </c>
      <c r="Q228" s="34">
        <v>0</v>
      </c>
      <c r="R228" s="34">
        <v>0</v>
      </c>
      <c r="S228" s="34">
        <v>0</v>
      </c>
      <c r="T228" s="34">
        <v>0</v>
      </c>
    </row>
    <row r="229" spans="1:142" ht="25.5" x14ac:dyDescent="0.2">
      <c r="A229" s="11">
        <v>226</v>
      </c>
      <c r="B229" s="37" t="s">
        <v>60</v>
      </c>
      <c r="C229" s="60" t="s">
        <v>489</v>
      </c>
      <c r="D229" s="37" t="s">
        <v>30</v>
      </c>
      <c r="E229" s="38">
        <v>134930904</v>
      </c>
      <c r="F229" s="39">
        <v>134930976</v>
      </c>
      <c r="G229" s="40" t="str">
        <f>HYPERLINK("http://genome.ucsc.edu/cgi-bin/hgTracks?position=chr1:134930758-134931126", "Go2UCSC")</f>
        <v>Go2UCSC</v>
      </c>
      <c r="H229" s="35">
        <v>57.776666666666671</v>
      </c>
      <c r="I229" s="35">
        <v>0</v>
      </c>
      <c r="J229" s="35">
        <v>57.776666666666671</v>
      </c>
      <c r="K229" s="42">
        <v>1</v>
      </c>
      <c r="L229" s="35">
        <v>15.657633242999097</v>
      </c>
      <c r="M229" s="34">
        <v>43.453333333333298</v>
      </c>
      <c r="N229" s="34">
        <v>40.186666666666703</v>
      </c>
      <c r="O229" s="34">
        <v>55.546666666666702</v>
      </c>
      <c r="P229" s="34">
        <v>91.92</v>
      </c>
      <c r="Q229" s="34">
        <v>0</v>
      </c>
      <c r="R229" s="34">
        <v>0</v>
      </c>
      <c r="S229" s="34">
        <v>0</v>
      </c>
      <c r="T229" s="34">
        <v>0</v>
      </c>
    </row>
    <row r="230" spans="1:142" s="4" customFormat="1" ht="25.5" x14ac:dyDescent="0.2">
      <c r="A230" s="11">
        <v>227</v>
      </c>
      <c r="B230" s="37" t="s">
        <v>505</v>
      </c>
      <c r="C230" s="60" t="s">
        <v>490</v>
      </c>
      <c r="D230" s="37" t="s">
        <v>414</v>
      </c>
      <c r="E230" s="38">
        <v>23518374</v>
      </c>
      <c r="F230" s="39">
        <v>23518461</v>
      </c>
      <c r="G230" s="40" t="str">
        <f>HYPERLINK("http://genome.ucsc.edu/cgi-bin/hgTracks?position=chr13:23518224-23518611", "Go2UCSC")</f>
        <v>Go2UCSC</v>
      </c>
      <c r="H230" s="35">
        <v>59.43</v>
      </c>
      <c r="I230" s="35">
        <v>0</v>
      </c>
      <c r="J230" s="35">
        <v>59.43</v>
      </c>
      <c r="K230" s="42">
        <v>1</v>
      </c>
      <c r="L230" s="35">
        <v>15.31701030927835</v>
      </c>
      <c r="M230" s="34">
        <v>42.96</v>
      </c>
      <c r="N230" s="34">
        <v>34.6533333333333</v>
      </c>
      <c r="O230" s="34">
        <v>91.986666666666693</v>
      </c>
      <c r="P230" s="34">
        <v>68.12</v>
      </c>
      <c r="Q230" s="34">
        <v>0</v>
      </c>
      <c r="R230" s="34">
        <v>0</v>
      </c>
      <c r="S230" s="34">
        <v>0</v>
      </c>
      <c r="T230" s="34">
        <v>0</v>
      </c>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row>
    <row r="231" spans="1:142" ht="25.5" x14ac:dyDescent="0.2">
      <c r="A231" s="11">
        <v>228</v>
      </c>
      <c r="B231" s="40" t="s">
        <v>527</v>
      </c>
      <c r="C231" s="62" t="s">
        <v>491</v>
      </c>
      <c r="D231" s="40" t="s">
        <v>30</v>
      </c>
      <c r="E231" s="38">
        <v>173011364</v>
      </c>
      <c r="F231" s="38">
        <v>173011446</v>
      </c>
      <c r="G231" s="40" t="str">
        <f>HYPERLINK("http://genome.ucsc.edu/cgi-bin/hgTracks?position=chr1:173011214-173011596", "Go2UCSC")</f>
        <v>Go2UCSC</v>
      </c>
      <c r="H231" s="35">
        <v>0</v>
      </c>
      <c r="I231" s="35">
        <v>55.435972222208328</v>
      </c>
      <c r="J231" s="35">
        <v>55.435972222208328</v>
      </c>
      <c r="K231" s="43">
        <v>0</v>
      </c>
      <c r="L231" s="35">
        <v>14.474144183344212</v>
      </c>
      <c r="M231" s="35">
        <v>0</v>
      </c>
      <c r="N231" s="35">
        <v>0</v>
      </c>
      <c r="O231" s="35">
        <v>0</v>
      </c>
      <c r="P231" s="35">
        <v>0</v>
      </c>
      <c r="Q231" s="35">
        <v>39.223333333333301</v>
      </c>
      <c r="R231" s="35">
        <v>47.844999999999999</v>
      </c>
      <c r="S231" s="35">
        <v>71.796111111100004</v>
      </c>
      <c r="T231" s="35">
        <v>62.879444444400001</v>
      </c>
    </row>
    <row r="232" spans="1:142" ht="25.5" x14ac:dyDescent="0.2">
      <c r="A232" s="11">
        <v>229</v>
      </c>
      <c r="B232" s="40" t="s">
        <v>62</v>
      </c>
      <c r="C232" s="62" t="s">
        <v>492</v>
      </c>
      <c r="D232" s="40" t="s">
        <v>30</v>
      </c>
      <c r="E232" s="38">
        <v>173003750</v>
      </c>
      <c r="F232" s="38">
        <v>173003832</v>
      </c>
      <c r="G232" s="40" t="str">
        <f>HYPERLINK("http://genome.ucsc.edu/cgi-bin/hgTracks?position=chr1:173003600-173003982", "Go2UCSC")</f>
        <v>Go2UCSC</v>
      </c>
      <c r="H232" s="35">
        <v>0.97666666666666757</v>
      </c>
      <c r="I232" s="35">
        <v>54.332638888874996</v>
      </c>
      <c r="J232" s="35">
        <v>55.309305555541663</v>
      </c>
      <c r="K232" s="43">
        <v>1.7658270283033982E-2</v>
      </c>
      <c r="L232" s="35">
        <v>14.441071946616621</v>
      </c>
      <c r="M232" s="35">
        <v>0.90666666666666706</v>
      </c>
      <c r="N232" s="35">
        <v>1.2266666666666699</v>
      </c>
      <c r="O232" s="35">
        <v>0.17333333333333301</v>
      </c>
      <c r="P232" s="35">
        <v>1.6</v>
      </c>
      <c r="Q232" s="35">
        <v>37.896666666666697</v>
      </c>
      <c r="R232" s="35">
        <v>46.898333333333298</v>
      </c>
      <c r="S232" s="35">
        <v>70.256111111099997</v>
      </c>
      <c r="T232" s="35">
        <v>62.279444444399999</v>
      </c>
    </row>
    <row r="233" spans="1:142" s="4" customFormat="1" ht="25.5" x14ac:dyDescent="0.2">
      <c r="A233" s="11">
        <v>230</v>
      </c>
      <c r="B233" s="37" t="s">
        <v>59</v>
      </c>
      <c r="C233" s="60" t="s">
        <v>493</v>
      </c>
      <c r="D233" s="37" t="s">
        <v>414</v>
      </c>
      <c r="E233" s="38">
        <v>23589975</v>
      </c>
      <c r="F233" s="39">
        <v>23590046</v>
      </c>
      <c r="G233" s="40" t="str">
        <f>HYPERLINK("http://genome.ucsc.edu/cgi-bin/hgTracks?position=chr13:23589825-23590196", "Go2UCSC")</f>
        <v>Go2UCSC</v>
      </c>
      <c r="H233" s="34">
        <v>50.566666666666649</v>
      </c>
      <c r="I233" s="34">
        <v>0</v>
      </c>
      <c r="J233" s="35">
        <v>50.566666666666649</v>
      </c>
      <c r="K233" s="36">
        <v>1</v>
      </c>
      <c r="L233" s="35">
        <v>13.593189964157702</v>
      </c>
      <c r="M233" s="34">
        <v>36.293333333333301</v>
      </c>
      <c r="N233" s="34">
        <v>35.36</v>
      </c>
      <c r="O233" s="34">
        <v>59.413333333333298</v>
      </c>
      <c r="P233" s="34">
        <v>71.2</v>
      </c>
      <c r="Q233" s="34">
        <v>0</v>
      </c>
      <c r="R233" s="34">
        <v>0</v>
      </c>
      <c r="S233" s="34">
        <v>0</v>
      </c>
      <c r="T233" s="34">
        <v>0</v>
      </c>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row>
    <row r="234" spans="1:142" ht="25.5" x14ac:dyDescent="0.2">
      <c r="A234" s="11">
        <v>231</v>
      </c>
      <c r="B234" s="37" t="s">
        <v>118</v>
      </c>
      <c r="C234" s="60" t="s">
        <v>494</v>
      </c>
      <c r="D234" s="37" t="s">
        <v>252</v>
      </c>
      <c r="E234" s="38">
        <v>96206141</v>
      </c>
      <c r="F234" s="39">
        <v>96206214</v>
      </c>
      <c r="G234" s="40" t="str">
        <f>HYPERLINK("http://genome.ucsc.edu/cgi-bin/hgTracks?position=chr3:96205991-96206364", "Go2UCSC")</f>
        <v>Go2UCSC</v>
      </c>
      <c r="H234" s="34">
        <v>44.09</v>
      </c>
      <c r="I234" s="34">
        <v>3.825000000000002</v>
      </c>
      <c r="J234" s="35">
        <v>47.915000000000006</v>
      </c>
      <c r="K234" s="36">
        <v>0.9201711363873526</v>
      </c>
      <c r="L234" s="35">
        <v>12.811497326203211</v>
      </c>
      <c r="M234" s="34">
        <v>45.32</v>
      </c>
      <c r="N234" s="34">
        <v>25.613333333333301</v>
      </c>
      <c r="O234" s="34">
        <v>53.76</v>
      </c>
      <c r="P234" s="34">
        <v>51.6666666666667</v>
      </c>
      <c r="Q234" s="34">
        <v>5.8000000000000096</v>
      </c>
      <c r="R234" s="34">
        <v>1.85</v>
      </c>
      <c r="S234" s="34">
        <v>4.8499999999999996</v>
      </c>
      <c r="T234" s="34">
        <v>2.8</v>
      </c>
    </row>
    <row r="235" spans="1:142" ht="25.5" x14ac:dyDescent="0.2">
      <c r="A235" s="11">
        <v>232</v>
      </c>
      <c r="B235" s="37" t="s">
        <v>125</v>
      </c>
      <c r="C235" s="60" t="s">
        <v>495</v>
      </c>
      <c r="D235" s="37" t="s">
        <v>414</v>
      </c>
      <c r="E235" s="38">
        <v>23390650</v>
      </c>
      <c r="F235" s="39">
        <v>23390722</v>
      </c>
      <c r="G235" s="40" t="str">
        <f>HYPERLINK("http://genome.ucsc.edu/cgi-bin/hgTracks?position=chr13:23390500-23390825", "Go2UCSC")</f>
        <v>Go2UCSC</v>
      </c>
      <c r="H235" s="34">
        <v>41.08</v>
      </c>
      <c r="I235" s="34">
        <v>0</v>
      </c>
      <c r="J235" s="35">
        <v>41.08</v>
      </c>
      <c r="K235" s="36">
        <v>1</v>
      </c>
      <c r="L235" s="35">
        <v>12.60122699386503</v>
      </c>
      <c r="M235" s="34">
        <v>29.733333333333299</v>
      </c>
      <c r="N235" s="34">
        <v>25.546666666666699</v>
      </c>
      <c r="O235" s="34">
        <v>61.3466666666667</v>
      </c>
      <c r="P235" s="34">
        <v>47.6933333333333</v>
      </c>
      <c r="Q235" s="34">
        <v>0</v>
      </c>
      <c r="R235" s="34">
        <v>0</v>
      </c>
      <c r="S235" s="34">
        <v>0</v>
      </c>
      <c r="T235" s="34">
        <v>0</v>
      </c>
    </row>
    <row r="236" spans="1:142" ht="25.5" x14ac:dyDescent="0.2">
      <c r="A236" s="11">
        <v>233</v>
      </c>
      <c r="B236" s="37" t="s">
        <v>223</v>
      </c>
      <c r="C236" s="60" t="s">
        <v>496</v>
      </c>
      <c r="D236" s="37" t="s">
        <v>414</v>
      </c>
      <c r="E236" s="38">
        <v>23400921</v>
      </c>
      <c r="F236" s="39">
        <v>23400994</v>
      </c>
      <c r="G236" s="40" t="str">
        <f>HYPERLINK("http://genome.ucsc.edu/cgi-bin/hgTracks?position=chr13:23400771-23401144", "Go2UCSC")</f>
        <v>Go2UCSC</v>
      </c>
      <c r="H236" s="34">
        <v>37.549999999999997</v>
      </c>
      <c r="I236" s="34">
        <v>7.4083333333333323</v>
      </c>
      <c r="J236" s="35">
        <v>44.958333333333329</v>
      </c>
      <c r="K236" s="36">
        <v>0.83521779425393883</v>
      </c>
      <c r="L236" s="35">
        <v>12.020944741532976</v>
      </c>
      <c r="M236" s="34">
        <v>28.24</v>
      </c>
      <c r="N236" s="34">
        <v>20.079999999999998</v>
      </c>
      <c r="O236" s="34">
        <v>55.706666666666699</v>
      </c>
      <c r="P236" s="34">
        <v>46.173333333333296</v>
      </c>
      <c r="Q236" s="34">
        <v>7.75</v>
      </c>
      <c r="R236" s="34">
        <v>5.5083333333333302</v>
      </c>
      <c r="S236" s="34">
        <v>7.4583333332999997</v>
      </c>
      <c r="T236" s="34">
        <v>8.9166666666999994</v>
      </c>
    </row>
    <row r="237" spans="1:142" ht="25.5" x14ac:dyDescent="0.2">
      <c r="A237" s="11">
        <v>234</v>
      </c>
      <c r="B237" s="40" t="s">
        <v>525</v>
      </c>
      <c r="C237" s="62" t="s">
        <v>497</v>
      </c>
      <c r="D237" s="40" t="s">
        <v>252</v>
      </c>
      <c r="E237" s="38">
        <v>96256418</v>
      </c>
      <c r="F237" s="38">
        <v>96256489</v>
      </c>
      <c r="G237" s="40" t="str">
        <f>HYPERLINK("http://genome.ucsc.edu/cgi-bin/hgTracks?position=chr3:96256268-96256639", "Go2UCSC")</f>
        <v>Go2UCSC</v>
      </c>
      <c r="H237" s="35">
        <v>0</v>
      </c>
      <c r="I237" s="35">
        <v>42.77833333333335</v>
      </c>
      <c r="J237" s="35">
        <v>42.77833333333335</v>
      </c>
      <c r="K237" s="43">
        <v>0</v>
      </c>
      <c r="L237" s="35">
        <v>11.499551971326168</v>
      </c>
      <c r="M237" s="35">
        <v>0</v>
      </c>
      <c r="N237" s="35">
        <v>0</v>
      </c>
      <c r="O237" s="35">
        <v>0</v>
      </c>
      <c r="P237" s="35">
        <v>0</v>
      </c>
      <c r="Q237" s="35">
        <v>33.2366666666667</v>
      </c>
      <c r="R237" s="35">
        <v>36.751666666666701</v>
      </c>
      <c r="S237" s="35">
        <v>56.361666666700003</v>
      </c>
      <c r="T237" s="35">
        <v>44.763333333299997</v>
      </c>
    </row>
    <row r="238" spans="1:142" ht="25.5" x14ac:dyDescent="0.2">
      <c r="A238" s="11">
        <v>235</v>
      </c>
      <c r="B238" s="40" t="s">
        <v>22</v>
      </c>
      <c r="C238" s="62" t="s">
        <v>772</v>
      </c>
      <c r="D238" s="40" t="s">
        <v>252</v>
      </c>
      <c r="E238" s="38">
        <v>96261993</v>
      </c>
      <c r="F238" s="38">
        <v>96262064</v>
      </c>
      <c r="G238" s="40" t="str">
        <f>HYPERLINK("http://genome.ucsc.edu/cgi-bin/hgTracks?position=chr3:96261843-96262214", "Go2UCSC")</f>
        <v>Go2UCSC</v>
      </c>
      <c r="H238" s="35">
        <v>0</v>
      </c>
      <c r="I238" s="35">
        <v>42.77833333333335</v>
      </c>
      <c r="J238" s="35">
        <v>42.77833333333335</v>
      </c>
      <c r="K238" s="43">
        <v>0</v>
      </c>
      <c r="L238" s="35">
        <v>11.499551971326168</v>
      </c>
      <c r="M238" s="35">
        <v>0</v>
      </c>
      <c r="N238" s="35">
        <v>0</v>
      </c>
      <c r="O238" s="35">
        <v>0</v>
      </c>
      <c r="P238" s="35">
        <v>0</v>
      </c>
      <c r="Q238" s="35">
        <v>33.2366666666667</v>
      </c>
      <c r="R238" s="35">
        <v>36.751666666666701</v>
      </c>
      <c r="S238" s="35">
        <v>56.361666666700003</v>
      </c>
      <c r="T238" s="35">
        <v>44.763333333299997</v>
      </c>
    </row>
    <row r="239" spans="1:142" ht="25.5" x14ac:dyDescent="0.2">
      <c r="A239" s="11">
        <v>236</v>
      </c>
      <c r="B239" s="37" t="s">
        <v>124</v>
      </c>
      <c r="C239" s="60" t="s">
        <v>773</v>
      </c>
      <c r="D239" s="37" t="s">
        <v>414</v>
      </c>
      <c r="E239" s="38">
        <v>22027366</v>
      </c>
      <c r="F239" s="39">
        <v>22027437</v>
      </c>
      <c r="G239" s="40" t="str">
        <f>HYPERLINK("http://genome.ucsc.edu/cgi-bin/hgTracks?position=chr13:22027216-22027587", "Go2UCSC")</f>
        <v>Go2UCSC</v>
      </c>
      <c r="H239" s="34">
        <v>40.336666666666673</v>
      </c>
      <c r="I239" s="34">
        <v>1</v>
      </c>
      <c r="J239" s="35">
        <v>41.336666666666673</v>
      </c>
      <c r="K239" s="36">
        <v>0.97580840254818157</v>
      </c>
      <c r="L239" s="35">
        <v>11.112007168458781</v>
      </c>
      <c r="M239" s="34">
        <v>41.733333333333299</v>
      </c>
      <c r="N239" s="34">
        <v>23.3066666666667</v>
      </c>
      <c r="O239" s="34">
        <v>53.226666666666702</v>
      </c>
      <c r="P239" s="34">
        <v>43.08</v>
      </c>
      <c r="Q239" s="34">
        <v>1.5</v>
      </c>
      <c r="R239" s="34">
        <v>0</v>
      </c>
      <c r="S239" s="34">
        <v>2</v>
      </c>
      <c r="T239" s="34">
        <v>0.5</v>
      </c>
    </row>
    <row r="240" spans="1:142" ht="25.5" x14ac:dyDescent="0.2">
      <c r="A240" s="11">
        <v>237</v>
      </c>
      <c r="B240" s="37" t="s">
        <v>230</v>
      </c>
      <c r="C240" s="60" t="s">
        <v>774</v>
      </c>
      <c r="D240" s="37" t="s">
        <v>414</v>
      </c>
      <c r="E240" s="38">
        <v>21346089</v>
      </c>
      <c r="F240" s="39">
        <v>21346160</v>
      </c>
      <c r="G240" s="40" t="str">
        <f>HYPERLINK("http://genome.ucsc.edu/cgi-bin/hgTracks?position=chr13:21345939-21346310", "Go2UCSC")</f>
        <v>Go2UCSC</v>
      </c>
      <c r="H240" s="34">
        <v>40.176666666666677</v>
      </c>
      <c r="I240" s="34">
        <v>0</v>
      </c>
      <c r="J240" s="35">
        <v>40.176666666666677</v>
      </c>
      <c r="K240" s="36">
        <v>1</v>
      </c>
      <c r="L240" s="35">
        <v>10.800179211469537</v>
      </c>
      <c r="M240" s="34">
        <v>44.64</v>
      </c>
      <c r="N240" s="34">
        <v>29.68</v>
      </c>
      <c r="O240" s="34">
        <v>42.56</v>
      </c>
      <c r="P240" s="34">
        <v>43.826666666666704</v>
      </c>
      <c r="Q240" s="34">
        <v>0</v>
      </c>
      <c r="R240" s="34">
        <v>0</v>
      </c>
      <c r="S240" s="34">
        <v>0</v>
      </c>
      <c r="T240" s="34">
        <v>0</v>
      </c>
    </row>
    <row r="241" spans="1:20" ht="25.5" x14ac:dyDescent="0.2">
      <c r="A241" s="11">
        <v>238</v>
      </c>
      <c r="B241" s="37" t="s">
        <v>152</v>
      </c>
      <c r="C241" s="60" t="s">
        <v>775</v>
      </c>
      <c r="D241" s="37" t="s">
        <v>414</v>
      </c>
      <c r="E241" s="38">
        <v>23377518</v>
      </c>
      <c r="F241" s="39">
        <v>23377590</v>
      </c>
      <c r="G241" s="40" t="str">
        <f>HYPERLINK("http://genome.ucsc.edu/cgi-bin/hgTracks?position=chr13:23377430-23377740", "Go2UCSC")</f>
        <v>Go2UCSC</v>
      </c>
      <c r="H241" s="34">
        <v>30.143333333333352</v>
      </c>
      <c r="I241" s="34">
        <v>0.125</v>
      </c>
      <c r="J241" s="35">
        <v>30.268333333333352</v>
      </c>
      <c r="K241" s="36">
        <v>0.99587027146082263</v>
      </c>
      <c r="L241" s="35">
        <v>9.7325830653804992</v>
      </c>
      <c r="M241" s="34">
        <v>26.92</v>
      </c>
      <c r="N241" s="34">
        <v>11.1466666666667</v>
      </c>
      <c r="O241" s="34">
        <v>43.546666666666702</v>
      </c>
      <c r="P241" s="34">
        <v>38.96</v>
      </c>
      <c r="Q241" s="34">
        <v>0</v>
      </c>
      <c r="R241" s="34">
        <v>0</v>
      </c>
      <c r="S241" s="34">
        <v>0.5</v>
      </c>
      <c r="T241" s="34">
        <v>0</v>
      </c>
    </row>
    <row r="242" spans="1:20" ht="25.5" x14ac:dyDescent="0.2">
      <c r="A242" s="11">
        <v>239</v>
      </c>
      <c r="B242" s="37" t="s">
        <v>156</v>
      </c>
      <c r="C242" s="60" t="s">
        <v>776</v>
      </c>
      <c r="D242" s="37" t="s">
        <v>204</v>
      </c>
      <c r="E242" s="38">
        <v>23677882</v>
      </c>
      <c r="F242" s="39">
        <v>23677953</v>
      </c>
      <c r="G242" s="40" t="str">
        <f>HYPERLINK("http://genome.ucsc.edu/cgi-bin/hgTracks?position=chr17:23677732-23678103", "Go2UCSC")</f>
        <v>Go2UCSC</v>
      </c>
      <c r="H242" s="34">
        <v>35.123333333333321</v>
      </c>
      <c r="I242" s="34">
        <v>0</v>
      </c>
      <c r="J242" s="35">
        <v>35.123333333333321</v>
      </c>
      <c r="K242" s="36">
        <v>1</v>
      </c>
      <c r="L242" s="35">
        <v>9.441756272401431</v>
      </c>
      <c r="M242" s="34">
        <v>24.973333333333301</v>
      </c>
      <c r="N242" s="34">
        <v>21.0133333333333</v>
      </c>
      <c r="O242" s="34">
        <v>43.3466666666667</v>
      </c>
      <c r="P242" s="34">
        <v>51.16</v>
      </c>
      <c r="Q242" s="34">
        <v>0</v>
      </c>
      <c r="R242" s="34">
        <v>0</v>
      </c>
      <c r="S242" s="34">
        <v>0</v>
      </c>
      <c r="T242" s="34">
        <v>0</v>
      </c>
    </row>
    <row r="243" spans="1:20" ht="25.5" x14ac:dyDescent="0.2">
      <c r="A243" s="11">
        <v>240</v>
      </c>
      <c r="B243" s="37" t="s">
        <v>409</v>
      </c>
      <c r="C243" s="60" t="s">
        <v>777</v>
      </c>
      <c r="D243" s="37" t="s">
        <v>414</v>
      </c>
      <c r="E243" s="38">
        <v>21371565</v>
      </c>
      <c r="F243" s="39">
        <v>21371637</v>
      </c>
      <c r="G243" s="40" t="str">
        <f>HYPERLINK("http://genome.ucsc.edu/cgi-bin/hgTracks?position=chr13:21371415-21371787", "Go2UCSC")</f>
        <v>Go2UCSC</v>
      </c>
      <c r="H243" s="34">
        <v>33.5</v>
      </c>
      <c r="I243" s="34">
        <v>0</v>
      </c>
      <c r="J243" s="35">
        <v>33.5</v>
      </c>
      <c r="K243" s="36">
        <v>1</v>
      </c>
      <c r="L243" s="35">
        <v>8.9812332439678286</v>
      </c>
      <c r="M243" s="34">
        <v>29.053333333333299</v>
      </c>
      <c r="N243" s="34">
        <v>20.866666666666699</v>
      </c>
      <c r="O243" s="34">
        <v>40.6</v>
      </c>
      <c r="P243" s="34">
        <v>43.48</v>
      </c>
      <c r="Q243" s="34">
        <v>0</v>
      </c>
      <c r="R243" s="34">
        <v>0</v>
      </c>
      <c r="S243" s="34">
        <v>0</v>
      </c>
      <c r="T243" s="34">
        <v>0</v>
      </c>
    </row>
    <row r="244" spans="1:20" ht="25.5" x14ac:dyDescent="0.2">
      <c r="A244" s="11">
        <v>241</v>
      </c>
      <c r="B244" s="37" t="s">
        <v>408</v>
      </c>
      <c r="C244" s="60" t="s">
        <v>778</v>
      </c>
      <c r="D244" s="37" t="s">
        <v>414</v>
      </c>
      <c r="E244" s="38">
        <v>21356449</v>
      </c>
      <c r="F244" s="39">
        <v>21356522</v>
      </c>
      <c r="G244" s="40" t="str">
        <f>HYPERLINK("http://genome.ucsc.edu/cgi-bin/hgTracks?position=chr13:21356299-21356672", "Go2UCSC")</f>
        <v>Go2UCSC</v>
      </c>
      <c r="H244" s="34">
        <v>33.150000000000006</v>
      </c>
      <c r="I244" s="34">
        <v>0</v>
      </c>
      <c r="J244" s="35">
        <v>33.150000000000006</v>
      </c>
      <c r="K244" s="36">
        <v>1</v>
      </c>
      <c r="L244" s="35">
        <v>8.8636363636363651</v>
      </c>
      <c r="M244" s="34">
        <v>28.373333333333299</v>
      </c>
      <c r="N244" s="34">
        <v>13.946666666666701</v>
      </c>
      <c r="O244" s="34">
        <v>37.6666666666667</v>
      </c>
      <c r="P244" s="34">
        <v>52.613333333333301</v>
      </c>
      <c r="Q244" s="34">
        <v>0</v>
      </c>
      <c r="R244" s="34">
        <v>0</v>
      </c>
      <c r="S244" s="34">
        <v>0</v>
      </c>
      <c r="T244" s="34">
        <v>0</v>
      </c>
    </row>
    <row r="245" spans="1:20" ht="25.5" x14ac:dyDescent="0.2">
      <c r="A245" s="11">
        <v>242</v>
      </c>
      <c r="B245" s="37" t="s">
        <v>410</v>
      </c>
      <c r="C245" s="60" t="s">
        <v>779</v>
      </c>
      <c r="D245" s="37" t="s">
        <v>88</v>
      </c>
      <c r="E245" s="38">
        <v>97631143</v>
      </c>
      <c r="F245" s="39">
        <v>97631214</v>
      </c>
      <c r="G245" s="40" t="str">
        <f>HYPERLINK("http://genome.ucsc.edu/cgi-bin/hgTracks?position=chr11:97630993-97631364", "Go2UCSC")</f>
        <v>Go2UCSC</v>
      </c>
      <c r="H245" s="34">
        <v>31.246666666666652</v>
      </c>
      <c r="I245" s="34">
        <v>0</v>
      </c>
      <c r="J245" s="35">
        <v>31.246666666666652</v>
      </c>
      <c r="K245" s="36">
        <v>1</v>
      </c>
      <c r="L245" s="35">
        <v>8.3996415770609278</v>
      </c>
      <c r="M245" s="34">
        <v>23.053333333333299</v>
      </c>
      <c r="N245" s="34">
        <v>12.7733333333333</v>
      </c>
      <c r="O245" s="34">
        <v>43.933333333333302</v>
      </c>
      <c r="P245" s="34">
        <v>45.226666666666702</v>
      </c>
      <c r="Q245" s="34">
        <v>0</v>
      </c>
      <c r="R245" s="34">
        <v>0</v>
      </c>
      <c r="S245" s="34">
        <v>0</v>
      </c>
      <c r="T245" s="34">
        <v>0</v>
      </c>
    </row>
    <row r="246" spans="1:20" ht="25.5" x14ac:dyDescent="0.2">
      <c r="A246" s="11">
        <v>243</v>
      </c>
      <c r="B246" s="37" t="s">
        <v>153</v>
      </c>
      <c r="C246" s="60" t="s">
        <v>780</v>
      </c>
      <c r="D246" s="37" t="s">
        <v>414</v>
      </c>
      <c r="E246" s="38">
        <v>23399498</v>
      </c>
      <c r="F246" s="39">
        <v>23399570</v>
      </c>
      <c r="G246" s="40" t="str">
        <f>HYPERLINK("http://genome.ucsc.edu/cgi-bin/hgTracks?position=chr13:23399348-23399720", "Go2UCSC")</f>
        <v>Go2UCSC</v>
      </c>
      <c r="H246" s="34">
        <v>28.966666666666651</v>
      </c>
      <c r="I246" s="34">
        <v>0</v>
      </c>
      <c r="J246" s="35">
        <v>28.966666666666651</v>
      </c>
      <c r="K246" s="36">
        <v>1</v>
      </c>
      <c r="L246" s="35">
        <v>7.7658623771224269</v>
      </c>
      <c r="M246" s="34">
        <v>23.1733333333333</v>
      </c>
      <c r="N246" s="34">
        <v>15</v>
      </c>
      <c r="O246" s="34">
        <v>45.84</v>
      </c>
      <c r="P246" s="34">
        <v>31.8533333333333</v>
      </c>
      <c r="Q246" s="34">
        <v>0</v>
      </c>
      <c r="R246" s="34">
        <v>0</v>
      </c>
      <c r="S246" s="34">
        <v>0</v>
      </c>
      <c r="T246" s="34">
        <v>0</v>
      </c>
    </row>
    <row r="247" spans="1:20" ht="25.5" x14ac:dyDescent="0.2">
      <c r="A247" s="11">
        <v>244</v>
      </c>
      <c r="B247" s="37" t="s">
        <v>231</v>
      </c>
      <c r="C247" s="60" t="s">
        <v>781</v>
      </c>
      <c r="D247" s="37" t="s">
        <v>414</v>
      </c>
      <c r="E247" s="38">
        <v>21414682</v>
      </c>
      <c r="F247" s="39">
        <v>21414755</v>
      </c>
      <c r="G247" s="40" t="str">
        <f>HYPERLINK("http://genome.ucsc.edu/cgi-bin/hgTracks?position=chr13:21414532-21414905", "Go2UCSC")</f>
        <v>Go2UCSC</v>
      </c>
      <c r="H247" s="34">
        <v>28.429999999999971</v>
      </c>
      <c r="I247" s="34">
        <v>0</v>
      </c>
      <c r="J247" s="35">
        <v>28.429999999999971</v>
      </c>
      <c r="K247" s="36">
        <v>1</v>
      </c>
      <c r="L247" s="35">
        <v>7.6016042780748592</v>
      </c>
      <c r="M247" s="34">
        <v>21.133333333333301</v>
      </c>
      <c r="N247" s="34">
        <v>13.0133333333333</v>
      </c>
      <c r="O247" s="34">
        <v>39.76</v>
      </c>
      <c r="P247" s="34">
        <v>39.813333333333297</v>
      </c>
      <c r="Q247" s="34">
        <v>0</v>
      </c>
      <c r="R247" s="34">
        <v>0</v>
      </c>
      <c r="S247" s="34">
        <v>0</v>
      </c>
      <c r="T247" s="34">
        <v>0</v>
      </c>
    </row>
    <row r="248" spans="1:20" ht="25.5" x14ac:dyDescent="0.2">
      <c r="A248" s="11">
        <v>245</v>
      </c>
      <c r="B248" s="37" t="s">
        <v>64</v>
      </c>
      <c r="C248" s="60" t="s">
        <v>782</v>
      </c>
      <c r="D248" s="37" t="s">
        <v>414</v>
      </c>
      <c r="E248" s="38">
        <v>22086059</v>
      </c>
      <c r="F248" s="39">
        <v>22086140</v>
      </c>
      <c r="G248" s="40" t="str">
        <f>HYPERLINK("http://genome.ucsc.edu/cgi-bin/hgTracks?position=chr13:22085909-22086290", "Go2UCSC")</f>
        <v>Go2UCSC</v>
      </c>
      <c r="H248" s="34">
        <v>27.323333333333352</v>
      </c>
      <c r="I248" s="34">
        <v>0</v>
      </c>
      <c r="J248" s="35">
        <v>27.323333333333352</v>
      </c>
      <c r="K248" s="36">
        <v>1</v>
      </c>
      <c r="L248" s="35">
        <v>7.1527050610820293</v>
      </c>
      <c r="M248" s="34">
        <v>18.266666666666701</v>
      </c>
      <c r="N248" s="34">
        <v>19.093333333333302</v>
      </c>
      <c r="O248" s="34">
        <v>35.026666666666699</v>
      </c>
      <c r="P248" s="34">
        <v>36.906666666666702</v>
      </c>
      <c r="Q248" s="34">
        <v>0</v>
      </c>
      <c r="R248" s="34">
        <v>0</v>
      </c>
      <c r="S248" s="34">
        <v>0</v>
      </c>
      <c r="T248" s="34">
        <v>0</v>
      </c>
    </row>
    <row r="249" spans="1:20" ht="25.5" x14ac:dyDescent="0.2">
      <c r="A249" s="11">
        <v>246</v>
      </c>
      <c r="B249" s="46" t="s">
        <v>123</v>
      </c>
      <c r="C249" s="64" t="s">
        <v>783</v>
      </c>
      <c r="D249" s="37" t="s">
        <v>414</v>
      </c>
      <c r="E249" s="38">
        <v>23591949</v>
      </c>
      <c r="F249" s="39">
        <v>23592020</v>
      </c>
      <c r="G249" s="40" t="str">
        <f>HYPERLINK("http://genome.ucsc.edu/cgi-bin/hgTracks?position=chr13:23591799-23592170", "Go2UCSC")</f>
        <v>Go2UCSC</v>
      </c>
      <c r="H249" s="34">
        <v>22.100000000000016</v>
      </c>
      <c r="I249" s="34">
        <v>0</v>
      </c>
      <c r="J249" s="35">
        <v>22.100000000000016</v>
      </c>
      <c r="K249" s="36">
        <v>1</v>
      </c>
      <c r="L249" s="35">
        <v>5.9408602150537675</v>
      </c>
      <c r="M249" s="34">
        <v>22.706666666666699</v>
      </c>
      <c r="N249" s="34">
        <v>9.5866666666666696</v>
      </c>
      <c r="O249" s="34">
        <v>24.32</v>
      </c>
      <c r="P249" s="34">
        <v>31.786666666666701</v>
      </c>
      <c r="Q249" s="34">
        <v>0</v>
      </c>
      <c r="R249" s="34">
        <v>0</v>
      </c>
      <c r="S249" s="34">
        <v>0</v>
      </c>
      <c r="T249" s="34">
        <v>0</v>
      </c>
    </row>
    <row r="250" spans="1:20" ht="25.5" x14ac:dyDescent="0.2">
      <c r="A250" s="11">
        <v>247</v>
      </c>
      <c r="B250" s="37" t="s">
        <v>275</v>
      </c>
      <c r="C250" s="60" t="s">
        <v>784</v>
      </c>
      <c r="D250" s="37" t="s">
        <v>252</v>
      </c>
      <c r="E250" s="38">
        <v>96283314</v>
      </c>
      <c r="F250" s="39">
        <v>96283385</v>
      </c>
      <c r="G250" s="40" t="str">
        <f>HYPERLINK("http://genome.ucsc.edu/cgi-bin/hgTracks?position=chr3:96283164-96283535", "Go2UCSC")</f>
        <v>Go2UCSC</v>
      </c>
      <c r="H250" s="34">
        <v>20.413333333333348</v>
      </c>
      <c r="I250" s="34">
        <v>0.75</v>
      </c>
      <c r="J250" s="35">
        <v>21.163333333333348</v>
      </c>
      <c r="K250" s="36">
        <v>0.9645613482438179</v>
      </c>
      <c r="L250" s="35">
        <v>5.6890681003584271</v>
      </c>
      <c r="M250" s="34">
        <v>15.4266666666667</v>
      </c>
      <c r="N250" s="34">
        <v>11.4266666666667</v>
      </c>
      <c r="O250" s="34">
        <v>26.626666666666701</v>
      </c>
      <c r="P250" s="34">
        <v>28.1733333333333</v>
      </c>
      <c r="Q250" s="34">
        <v>1</v>
      </c>
      <c r="R250" s="34">
        <v>1</v>
      </c>
      <c r="S250" s="34">
        <v>0</v>
      </c>
      <c r="T250" s="34">
        <v>1</v>
      </c>
    </row>
    <row r="251" spans="1:20" ht="25.5" x14ac:dyDescent="0.2">
      <c r="A251" s="11">
        <v>248</v>
      </c>
      <c r="B251" s="37" t="s">
        <v>12</v>
      </c>
      <c r="C251" s="60" t="s">
        <v>785</v>
      </c>
      <c r="D251" s="37" t="s">
        <v>414</v>
      </c>
      <c r="E251" s="38">
        <v>22088450</v>
      </c>
      <c r="F251" s="39">
        <v>22088521</v>
      </c>
      <c r="G251" s="40" t="str">
        <f>HYPERLINK("http://genome.ucsc.edu/cgi-bin/hgTracks?position=chr13:22088300-22088671", "Go2UCSC")</f>
        <v>Go2UCSC</v>
      </c>
      <c r="H251" s="34">
        <v>21.133333333333326</v>
      </c>
      <c r="I251" s="34">
        <v>0</v>
      </c>
      <c r="J251" s="35">
        <v>21.133333333333326</v>
      </c>
      <c r="K251" s="36">
        <v>1</v>
      </c>
      <c r="L251" s="35">
        <v>5.6810035842293889</v>
      </c>
      <c r="M251" s="34">
        <v>7.2</v>
      </c>
      <c r="N251" s="34">
        <v>13.3066666666667</v>
      </c>
      <c r="O251" s="34">
        <v>31.453333333333301</v>
      </c>
      <c r="P251" s="34">
        <v>32.573333333333302</v>
      </c>
      <c r="Q251" s="34">
        <v>0</v>
      </c>
      <c r="R251" s="34">
        <v>0</v>
      </c>
      <c r="S251" s="34">
        <v>0</v>
      </c>
      <c r="T251" s="34">
        <v>0</v>
      </c>
    </row>
    <row r="252" spans="1:20" ht="25.5" x14ac:dyDescent="0.2">
      <c r="A252" s="11">
        <v>249</v>
      </c>
      <c r="B252" s="47" t="s">
        <v>215</v>
      </c>
      <c r="C252" s="65" t="s">
        <v>786</v>
      </c>
      <c r="D252" s="48" t="s">
        <v>414</v>
      </c>
      <c r="E252" s="38">
        <v>23505117</v>
      </c>
      <c r="F252" s="39">
        <v>23505189</v>
      </c>
      <c r="G252" s="49" t="str">
        <f>HYPERLINK("http://genome.ucsc.edu/cgi-bin/hgTracks?position=chr13:23505000-23505339", "Go2UCSC")</f>
        <v>Go2UCSC</v>
      </c>
      <c r="H252" s="50">
        <v>18.633333333333351</v>
      </c>
      <c r="I252" s="50">
        <v>0</v>
      </c>
      <c r="J252" s="51">
        <v>18.633333333333351</v>
      </c>
      <c r="K252" s="52">
        <v>1</v>
      </c>
      <c r="L252" s="51">
        <v>5.4803921568627505</v>
      </c>
      <c r="M252" s="34">
        <v>10.026666666666699</v>
      </c>
      <c r="N252" s="34">
        <v>14.84</v>
      </c>
      <c r="O252" s="34">
        <v>26.8266666666667</v>
      </c>
      <c r="P252" s="34">
        <v>22.84</v>
      </c>
      <c r="Q252" s="34">
        <v>0</v>
      </c>
      <c r="R252" s="34">
        <v>0</v>
      </c>
      <c r="S252" s="34">
        <v>0</v>
      </c>
      <c r="T252" s="34">
        <v>0</v>
      </c>
    </row>
    <row r="253" spans="1:20" ht="25.5" x14ac:dyDescent="0.2">
      <c r="A253" s="11">
        <v>250</v>
      </c>
      <c r="B253" s="37" t="s">
        <v>154</v>
      </c>
      <c r="C253" s="60" t="s">
        <v>787</v>
      </c>
      <c r="D253" s="37" t="s">
        <v>414</v>
      </c>
      <c r="E253" s="38">
        <v>21939891</v>
      </c>
      <c r="F253" s="39">
        <v>21939973</v>
      </c>
      <c r="G253" s="40" t="str">
        <f>HYPERLINK("http://genome.ucsc.edu/cgi-bin/hgTracks?position=chr13:21939741-21940123", "Go2UCSC")</f>
        <v>Go2UCSC</v>
      </c>
      <c r="H253" s="34">
        <v>20.380000000000024</v>
      </c>
      <c r="I253" s="34">
        <v>0.25666666664999999</v>
      </c>
      <c r="J253" s="35">
        <v>20.636666666650022</v>
      </c>
      <c r="K253" s="36">
        <v>0.98756259085849429</v>
      </c>
      <c r="L253" s="35">
        <v>5.3881636205352539</v>
      </c>
      <c r="M253" s="34">
        <v>17.226666666666699</v>
      </c>
      <c r="N253" s="34">
        <v>14.186666666666699</v>
      </c>
      <c r="O253" s="34">
        <v>30.386666666666699</v>
      </c>
      <c r="P253" s="34">
        <v>19.72</v>
      </c>
      <c r="Q253" s="34">
        <v>0</v>
      </c>
      <c r="R253" s="34">
        <v>0</v>
      </c>
      <c r="S253" s="34">
        <v>0.37333333330000001</v>
      </c>
      <c r="T253" s="34">
        <v>0.65333333329999999</v>
      </c>
    </row>
    <row r="254" spans="1:20" ht="25.5" x14ac:dyDescent="0.2">
      <c r="A254" s="11">
        <v>251</v>
      </c>
      <c r="B254" s="37" t="s">
        <v>33</v>
      </c>
      <c r="C254" s="60" t="s">
        <v>788</v>
      </c>
      <c r="D254" s="37" t="s">
        <v>414</v>
      </c>
      <c r="E254" s="38">
        <v>23409335</v>
      </c>
      <c r="F254" s="39">
        <v>23409407</v>
      </c>
      <c r="G254" s="40" t="str">
        <f>HYPERLINK("http://genome.ucsc.edu/cgi-bin/hgTracks?position=chr13:23409185-23409557", "Go2UCSC")</f>
        <v>Go2UCSC</v>
      </c>
      <c r="H254" s="34">
        <v>19.896666666666647</v>
      </c>
      <c r="I254" s="34">
        <v>0</v>
      </c>
      <c r="J254" s="35">
        <v>19.896666666666647</v>
      </c>
      <c r="K254" s="36">
        <v>1</v>
      </c>
      <c r="L254" s="35">
        <v>5.3342269883824791</v>
      </c>
      <c r="M254" s="34">
        <v>21.253333333333298</v>
      </c>
      <c r="N254" s="34">
        <v>12.4266666666667</v>
      </c>
      <c r="O254" s="34">
        <v>27.613333333333301</v>
      </c>
      <c r="P254" s="34">
        <v>18.293333333333301</v>
      </c>
      <c r="Q254" s="34">
        <v>0</v>
      </c>
      <c r="R254" s="34">
        <v>0</v>
      </c>
      <c r="S254" s="34">
        <v>0</v>
      </c>
      <c r="T254" s="34">
        <v>0</v>
      </c>
    </row>
    <row r="255" spans="1:20" ht="25.5" x14ac:dyDescent="0.2">
      <c r="A255" s="11">
        <v>252</v>
      </c>
      <c r="B255" s="47" t="s">
        <v>84</v>
      </c>
      <c r="C255" s="65" t="s">
        <v>789</v>
      </c>
      <c r="D255" s="48" t="s">
        <v>414</v>
      </c>
      <c r="E255" s="38">
        <v>23390930</v>
      </c>
      <c r="F255" s="39">
        <v>23391002</v>
      </c>
      <c r="G255" s="49" t="str">
        <f>HYPERLINK("http://genome.ucsc.edu/cgi-bin/hgTracks?position=chr13:23390826-23391152", "Go2UCSC")</f>
        <v>Go2UCSC</v>
      </c>
      <c r="H255" s="50">
        <v>17.17333333333335</v>
      </c>
      <c r="I255" s="50">
        <v>0.125</v>
      </c>
      <c r="J255" s="51">
        <v>17.29833333333335</v>
      </c>
      <c r="K255" s="52">
        <v>0.99277387031505926</v>
      </c>
      <c r="L255" s="51">
        <v>5.2900101936799242</v>
      </c>
      <c r="M255" s="34">
        <v>16.04</v>
      </c>
      <c r="N255" s="34">
        <v>7.16</v>
      </c>
      <c r="O255" s="34">
        <v>27.626666666666701</v>
      </c>
      <c r="P255" s="34">
        <v>17.866666666666699</v>
      </c>
      <c r="Q255" s="34">
        <v>0</v>
      </c>
      <c r="R255" s="34">
        <v>0</v>
      </c>
      <c r="S255" s="34">
        <v>0.5</v>
      </c>
      <c r="T255" s="34">
        <v>0</v>
      </c>
    </row>
    <row r="256" spans="1:20" ht="25.5" x14ac:dyDescent="0.2">
      <c r="A256" s="11">
        <v>253</v>
      </c>
      <c r="B256" s="37" t="s">
        <v>274</v>
      </c>
      <c r="C256" s="60" t="s">
        <v>790</v>
      </c>
      <c r="D256" s="37" t="s">
        <v>414</v>
      </c>
      <c r="E256" s="38">
        <v>22016804</v>
      </c>
      <c r="F256" s="39">
        <v>22016885</v>
      </c>
      <c r="G256" s="40" t="str">
        <f>HYPERLINK("http://genome.ucsc.edu/cgi-bin/hgTracks?position=chr13:22016654-22017035", "Go2UCSC")</f>
        <v>Go2UCSC</v>
      </c>
      <c r="H256" s="34">
        <v>13.806666666666674</v>
      </c>
      <c r="I256" s="34">
        <v>6.125</v>
      </c>
      <c r="J256" s="35">
        <v>19.931666666666672</v>
      </c>
      <c r="K256" s="36">
        <v>0.69270005853332239</v>
      </c>
      <c r="L256" s="35">
        <v>5.2177137870855166</v>
      </c>
      <c r="M256" s="34">
        <v>14.866666666666699</v>
      </c>
      <c r="N256" s="34">
        <v>6.2</v>
      </c>
      <c r="O256" s="34">
        <v>18.48</v>
      </c>
      <c r="P256" s="34">
        <v>15.68</v>
      </c>
      <c r="Q256" s="34">
        <v>8.5</v>
      </c>
      <c r="R256" s="34">
        <v>3.5</v>
      </c>
      <c r="S256" s="34">
        <v>6</v>
      </c>
      <c r="T256" s="34">
        <v>6.5</v>
      </c>
    </row>
    <row r="257" spans="1:142" x14ac:dyDescent="0.2">
      <c r="A257" s="11">
        <v>254</v>
      </c>
      <c r="B257" s="47" t="s">
        <v>514</v>
      </c>
      <c r="C257" s="65" t="s">
        <v>791</v>
      </c>
      <c r="D257" s="48" t="s">
        <v>252</v>
      </c>
      <c r="E257" s="38">
        <v>96186834</v>
      </c>
      <c r="F257" s="39">
        <v>96186904</v>
      </c>
      <c r="G257" s="49" t="str">
        <f>HYPERLINK("http://genome.ucsc.edu/cgi-bin/hgTracks?position=chr3:96186684-96187054", "Go2UCSC")</f>
        <v>Go2UCSC</v>
      </c>
      <c r="H257" s="50">
        <v>0</v>
      </c>
      <c r="I257" s="50">
        <v>18.86166666666665</v>
      </c>
      <c r="J257" s="51">
        <v>18.86166666666665</v>
      </c>
      <c r="K257" s="53">
        <v>0</v>
      </c>
      <c r="L257" s="51">
        <v>5.0840071877807684</v>
      </c>
      <c r="M257" s="34">
        <v>0</v>
      </c>
      <c r="N257" s="34">
        <v>0</v>
      </c>
      <c r="O257" s="34">
        <v>0</v>
      </c>
      <c r="P257" s="34">
        <v>0</v>
      </c>
      <c r="Q257" s="34">
        <v>11.4933333333333</v>
      </c>
      <c r="R257" s="34">
        <v>13.5933333333333</v>
      </c>
      <c r="S257" s="34">
        <v>33.54</v>
      </c>
      <c r="T257" s="34">
        <v>16.82</v>
      </c>
    </row>
    <row r="258" spans="1:142" ht="25.5" x14ac:dyDescent="0.2">
      <c r="A258" s="11">
        <v>255</v>
      </c>
      <c r="B258" s="40" t="s">
        <v>135</v>
      </c>
      <c r="C258" s="62" t="s">
        <v>792</v>
      </c>
      <c r="D258" s="40" t="s">
        <v>252</v>
      </c>
      <c r="E258" s="38">
        <v>96155090</v>
      </c>
      <c r="F258" s="38">
        <v>96155160</v>
      </c>
      <c r="G258" s="40" t="str">
        <f>HYPERLINK("http://genome.ucsc.edu/cgi-bin/hgTracks?position=chr3:96154940-96155310", "Go2UCSC")</f>
        <v>Go2UCSC</v>
      </c>
      <c r="H258" s="35">
        <v>0</v>
      </c>
      <c r="I258" s="35">
        <v>18.86166666666665</v>
      </c>
      <c r="J258" s="35">
        <v>18.86166666666665</v>
      </c>
      <c r="K258" s="45">
        <v>0</v>
      </c>
      <c r="L258" s="35">
        <v>5.0840071877807684</v>
      </c>
      <c r="M258" s="35">
        <v>0</v>
      </c>
      <c r="N258" s="35">
        <v>0</v>
      </c>
      <c r="O258" s="35">
        <v>0</v>
      </c>
      <c r="P258" s="35">
        <v>0</v>
      </c>
      <c r="Q258" s="35">
        <v>11.4933333333333</v>
      </c>
      <c r="R258" s="35">
        <v>13.5933333333333</v>
      </c>
      <c r="S258" s="35">
        <v>33.54</v>
      </c>
      <c r="T258" s="35">
        <v>16.82</v>
      </c>
    </row>
    <row r="259" spans="1:142" s="4" customFormat="1" x14ac:dyDescent="0.2">
      <c r="A259" s="11">
        <v>256</v>
      </c>
      <c r="B259" s="47" t="s">
        <v>364</v>
      </c>
      <c r="C259" s="65" t="s">
        <v>793</v>
      </c>
      <c r="D259" s="48" t="s">
        <v>257</v>
      </c>
      <c r="E259" s="38">
        <v>104310997</v>
      </c>
      <c r="F259" s="39">
        <v>104311068</v>
      </c>
      <c r="G259" s="49" t="str">
        <f>HYPERLINK("http://genome.ucsc.edu/cgi-bin/hgTracks?position=chr9:104310847-104311218", "Go2UCSC")</f>
        <v>Go2UCSC</v>
      </c>
      <c r="H259" s="50">
        <v>13.903333333333332</v>
      </c>
      <c r="I259" s="50">
        <v>4.7916666666666652</v>
      </c>
      <c r="J259" s="51">
        <v>18.694999999999997</v>
      </c>
      <c r="K259" s="54">
        <v>0.74369260943211202</v>
      </c>
      <c r="L259" s="51">
        <v>5.0255376344086011</v>
      </c>
      <c r="M259" s="34">
        <v>13.373333333333299</v>
      </c>
      <c r="N259" s="34">
        <v>8.1333333333333293</v>
      </c>
      <c r="O259" s="34">
        <v>15.2266666666667</v>
      </c>
      <c r="P259" s="34">
        <v>18.88</v>
      </c>
      <c r="Q259" s="34">
        <v>4.3333333333333304</v>
      </c>
      <c r="R259" s="34">
        <v>1.8333333333333299</v>
      </c>
      <c r="S259" s="34">
        <v>6</v>
      </c>
      <c r="T259" s="34">
        <v>7</v>
      </c>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row>
    <row r="260" spans="1:142" ht="25.5" x14ac:dyDescent="0.2">
      <c r="A260" s="12">
        <v>257</v>
      </c>
      <c r="B260" s="37" t="s">
        <v>136</v>
      </c>
      <c r="C260" s="60" t="s">
        <v>794</v>
      </c>
      <c r="D260" s="37" t="s">
        <v>414</v>
      </c>
      <c r="E260" s="38">
        <v>22025830</v>
      </c>
      <c r="F260" s="39">
        <v>22025901</v>
      </c>
      <c r="G260" s="40" t="str">
        <f>HYPERLINK("http://genome.ucsc.edu/cgi-bin/hgTracks?position=chr13:22025680-22026051", "Go2UCSC")</f>
        <v>Go2UCSC</v>
      </c>
      <c r="H260" s="34">
        <v>18.039999999999992</v>
      </c>
      <c r="I260" s="34">
        <v>0</v>
      </c>
      <c r="J260" s="35">
        <v>18.039999999999992</v>
      </c>
      <c r="K260" s="36">
        <v>1</v>
      </c>
      <c r="L260" s="35">
        <v>4.8494623655913953</v>
      </c>
      <c r="M260" s="34">
        <v>13.7466666666667</v>
      </c>
      <c r="N260" s="34">
        <v>8.8666666666666707</v>
      </c>
      <c r="O260" s="34">
        <v>26.813333333333301</v>
      </c>
      <c r="P260" s="34">
        <v>22.733333333333299</v>
      </c>
      <c r="Q260" s="34">
        <v>0</v>
      </c>
      <c r="R260" s="34">
        <v>0</v>
      </c>
      <c r="S260" s="34">
        <v>0</v>
      </c>
      <c r="T260" s="34">
        <v>0</v>
      </c>
    </row>
    <row r="261" spans="1:142" ht="25.5" x14ac:dyDescent="0.2">
      <c r="A261" s="12">
        <v>258</v>
      </c>
      <c r="B261" s="37" t="s">
        <v>412</v>
      </c>
      <c r="C261" s="60" t="s">
        <v>795</v>
      </c>
      <c r="D261" s="37" t="s">
        <v>414</v>
      </c>
      <c r="E261" s="38">
        <v>22006707</v>
      </c>
      <c r="F261" s="39">
        <v>22006812</v>
      </c>
      <c r="G261" s="40" t="str">
        <f>HYPERLINK("http://genome.ucsc.edu/cgi-bin/hgTracks?position=chr13:22006557-22006962", "Go2UCSC")</f>
        <v>Go2UCSC</v>
      </c>
      <c r="H261" s="34">
        <v>19.553333333333331</v>
      </c>
      <c r="I261" s="34">
        <v>0</v>
      </c>
      <c r="J261" s="35">
        <v>19.553333333333331</v>
      </c>
      <c r="K261" s="36">
        <v>1</v>
      </c>
      <c r="L261" s="35">
        <v>4.8160919540229878</v>
      </c>
      <c r="M261" s="34">
        <v>20.266666666666701</v>
      </c>
      <c r="N261" s="34">
        <v>9.4533333333333296</v>
      </c>
      <c r="O261" s="34">
        <v>21.413333333333298</v>
      </c>
      <c r="P261" s="34">
        <v>27.08</v>
      </c>
      <c r="Q261" s="34">
        <v>0</v>
      </c>
      <c r="R261" s="34">
        <v>0</v>
      </c>
      <c r="S261" s="34">
        <v>0</v>
      </c>
      <c r="T261" s="34">
        <v>0</v>
      </c>
    </row>
    <row r="262" spans="1:142" s="4" customFormat="1" ht="25.5" x14ac:dyDescent="0.2">
      <c r="A262" s="12">
        <v>259</v>
      </c>
      <c r="B262" s="37" t="s">
        <v>45</v>
      </c>
      <c r="C262" s="60" t="s">
        <v>796</v>
      </c>
      <c r="D262" s="37" t="s">
        <v>414</v>
      </c>
      <c r="E262" s="38">
        <v>23492664</v>
      </c>
      <c r="F262" s="39">
        <v>23492736</v>
      </c>
      <c r="G262" s="40" t="str">
        <f>HYPERLINK("http://genome.ucsc.edu/cgi-bin/hgTracks?position=chr13:23492514-23492838", "Go2UCSC")</f>
        <v>Go2UCSC</v>
      </c>
      <c r="H262" s="34">
        <v>15.636666666666667</v>
      </c>
      <c r="I262" s="34">
        <v>0</v>
      </c>
      <c r="J262" s="35">
        <v>15.636666666666667</v>
      </c>
      <c r="K262" s="36">
        <v>1</v>
      </c>
      <c r="L262" s="35">
        <v>4.8112820512820518</v>
      </c>
      <c r="M262" s="34">
        <v>4.9866666666666699</v>
      </c>
      <c r="N262" s="34">
        <v>12.48</v>
      </c>
      <c r="O262" s="34">
        <v>20.266666666666701</v>
      </c>
      <c r="P262" s="34">
        <v>24.813333333333301</v>
      </c>
      <c r="Q262" s="34">
        <v>0</v>
      </c>
      <c r="R262" s="34">
        <v>0</v>
      </c>
      <c r="S262" s="34">
        <v>0</v>
      </c>
      <c r="T262" s="34">
        <v>0</v>
      </c>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row>
    <row r="263" spans="1:142" ht="25.5" x14ac:dyDescent="0.2">
      <c r="A263" s="12">
        <v>260</v>
      </c>
      <c r="B263" s="37" t="s">
        <v>14</v>
      </c>
      <c r="C263" s="60" t="s">
        <v>797</v>
      </c>
      <c r="D263" s="37" t="s">
        <v>252</v>
      </c>
      <c r="E263" s="38">
        <v>96136663</v>
      </c>
      <c r="F263" s="39">
        <v>96136735</v>
      </c>
      <c r="G263" s="40" t="str">
        <f>HYPERLINK("http://genome.ucsc.edu/cgi-bin/hgTracks?position=chr3:96136513-96136885", "Go2UCSC")</f>
        <v>Go2UCSC</v>
      </c>
      <c r="H263" s="34">
        <v>17.653333333333325</v>
      </c>
      <c r="I263" s="34">
        <v>0</v>
      </c>
      <c r="J263" s="35">
        <v>17.653333333333325</v>
      </c>
      <c r="K263" s="36">
        <v>1</v>
      </c>
      <c r="L263" s="35">
        <v>4.7327971403038402</v>
      </c>
      <c r="M263" s="34">
        <v>13.28</v>
      </c>
      <c r="N263" s="34">
        <v>1.96</v>
      </c>
      <c r="O263" s="34">
        <v>27.92</v>
      </c>
      <c r="P263" s="34">
        <v>27.453333333333301</v>
      </c>
      <c r="Q263" s="34">
        <v>0</v>
      </c>
      <c r="R263" s="34">
        <v>0</v>
      </c>
      <c r="S263" s="34">
        <v>0</v>
      </c>
      <c r="T263" s="34">
        <v>0</v>
      </c>
    </row>
    <row r="264" spans="1:142" ht="25.5" x14ac:dyDescent="0.2">
      <c r="A264" s="12">
        <v>261</v>
      </c>
      <c r="B264" s="37" t="s">
        <v>138</v>
      </c>
      <c r="C264" s="60" t="s">
        <v>798</v>
      </c>
      <c r="D264" s="37" t="s">
        <v>414</v>
      </c>
      <c r="E264" s="38">
        <v>23504810</v>
      </c>
      <c r="F264" s="39">
        <v>23504882</v>
      </c>
      <c r="G264" s="40" t="str">
        <f>HYPERLINK("http://genome.ucsc.edu/cgi-bin/hgTracks?position=chr13:23504660-23504999", "Go2UCSC")</f>
        <v>Go2UCSC</v>
      </c>
      <c r="H264" s="34">
        <v>15.803333333333333</v>
      </c>
      <c r="I264" s="34">
        <v>0</v>
      </c>
      <c r="J264" s="35">
        <v>15.803333333333333</v>
      </c>
      <c r="K264" s="36">
        <v>1</v>
      </c>
      <c r="L264" s="35">
        <v>4.648039215686274</v>
      </c>
      <c r="M264" s="34">
        <v>20.64</v>
      </c>
      <c r="N264" s="34">
        <v>7.9733333333333301</v>
      </c>
      <c r="O264" s="34">
        <v>14.2</v>
      </c>
      <c r="P264" s="34">
        <v>20.399999999999999</v>
      </c>
      <c r="Q264" s="34">
        <v>0</v>
      </c>
      <c r="R264" s="34">
        <v>0</v>
      </c>
      <c r="S264" s="34">
        <v>0</v>
      </c>
      <c r="T264" s="34">
        <v>0</v>
      </c>
    </row>
    <row r="265" spans="1:142" ht="25.5" x14ac:dyDescent="0.2">
      <c r="A265" s="12">
        <v>262</v>
      </c>
      <c r="B265" s="37" t="s">
        <v>155</v>
      </c>
      <c r="C265" s="60" t="s">
        <v>799</v>
      </c>
      <c r="D265" s="37" t="s">
        <v>414</v>
      </c>
      <c r="E265" s="38">
        <v>22009031</v>
      </c>
      <c r="F265" s="39">
        <v>22009116</v>
      </c>
      <c r="G265" s="40" t="str">
        <f>HYPERLINK("http://genome.ucsc.edu/cgi-bin/hgTracks?position=chr13:22008881-22009266", "Go2UCSC")</f>
        <v>Go2UCSC</v>
      </c>
      <c r="H265" s="34">
        <v>17.61333333333333</v>
      </c>
      <c r="I265" s="34">
        <v>0</v>
      </c>
      <c r="J265" s="35">
        <v>17.61333333333333</v>
      </c>
      <c r="K265" s="36">
        <v>1</v>
      </c>
      <c r="L265" s="35">
        <v>4.5630397236614844</v>
      </c>
      <c r="M265" s="34">
        <v>16.546666666666699</v>
      </c>
      <c r="N265" s="34">
        <v>8.8133333333333308</v>
      </c>
      <c r="O265" s="34">
        <v>20.213333333333299</v>
      </c>
      <c r="P265" s="34">
        <v>24.88</v>
      </c>
      <c r="Q265" s="34">
        <v>0</v>
      </c>
      <c r="R265" s="34">
        <v>0</v>
      </c>
      <c r="S265" s="34">
        <v>0</v>
      </c>
      <c r="T265" s="34">
        <v>0</v>
      </c>
    </row>
    <row r="266" spans="1:142" ht="25.5" x14ac:dyDescent="0.2">
      <c r="A266" s="12">
        <v>263</v>
      </c>
      <c r="B266" s="40" t="s">
        <v>13</v>
      </c>
      <c r="C266" s="62" t="s">
        <v>800</v>
      </c>
      <c r="D266" s="40" t="s">
        <v>414</v>
      </c>
      <c r="E266" s="38">
        <v>22019726</v>
      </c>
      <c r="F266" s="38">
        <v>22019807</v>
      </c>
      <c r="G266" s="40" t="str">
        <f>HYPERLINK("http://genome.ucsc.edu/cgi-bin/hgTracks?position=chr13:22019576-22019957", "Go2UCSC")</f>
        <v>Go2UCSC</v>
      </c>
      <c r="H266" s="35">
        <v>5.8333333333333286</v>
      </c>
      <c r="I266" s="35">
        <v>11.41444444442778</v>
      </c>
      <c r="J266" s="35">
        <v>17.247777777761108</v>
      </c>
      <c r="K266" s="42">
        <v>0.33820782065355087</v>
      </c>
      <c r="L266" s="35">
        <v>4.5151250727123315</v>
      </c>
      <c r="M266" s="35">
        <v>1.4666666666666699</v>
      </c>
      <c r="N266" s="35">
        <v>2.0266666666666699</v>
      </c>
      <c r="O266" s="35">
        <v>9.7066666666666706</v>
      </c>
      <c r="P266" s="35">
        <v>10.133333333333301</v>
      </c>
      <c r="Q266" s="35">
        <v>9.9911111111111097</v>
      </c>
      <c r="R266" s="35">
        <v>8.6000000000000103</v>
      </c>
      <c r="S266" s="35">
        <v>11.833333333300001</v>
      </c>
      <c r="T266" s="35">
        <v>15.233333333299999</v>
      </c>
    </row>
    <row r="267" spans="1:142" ht="25.5" x14ac:dyDescent="0.2">
      <c r="A267" s="12">
        <v>364</v>
      </c>
      <c r="B267" s="47" t="s">
        <v>234</v>
      </c>
      <c r="C267" s="65" t="s">
        <v>801</v>
      </c>
      <c r="D267" s="48" t="s">
        <v>414</v>
      </c>
      <c r="E267" s="38">
        <v>23492942</v>
      </c>
      <c r="F267" s="39">
        <v>23493014</v>
      </c>
      <c r="G267" s="49" t="str">
        <f>HYPERLINK("http://genome.ucsc.edu/cgi-bin/hgTracks?position=chr13:23492839-23493164", "Go2UCSC")</f>
        <v>Go2UCSC</v>
      </c>
      <c r="H267" s="50">
        <v>14.409999999999982</v>
      </c>
      <c r="I267" s="50">
        <v>0</v>
      </c>
      <c r="J267" s="51">
        <v>14.409999999999982</v>
      </c>
      <c r="K267" s="52">
        <v>1</v>
      </c>
      <c r="L267" s="51">
        <v>4.4202453987730008</v>
      </c>
      <c r="M267" s="34">
        <v>16.4933333333333</v>
      </c>
      <c r="N267" s="34">
        <v>10.88</v>
      </c>
      <c r="O267" s="34">
        <v>9.4533333333333296</v>
      </c>
      <c r="P267" s="34">
        <v>20.813333333333301</v>
      </c>
      <c r="Q267" s="34">
        <v>0</v>
      </c>
      <c r="R267" s="34">
        <v>0</v>
      </c>
      <c r="S267" s="34">
        <v>0</v>
      </c>
      <c r="T267" s="34">
        <v>0</v>
      </c>
    </row>
    <row r="268" spans="1:142" ht="25.5" x14ac:dyDescent="0.2">
      <c r="A268" s="12">
        <v>265</v>
      </c>
      <c r="B268" s="47" t="s">
        <v>287</v>
      </c>
      <c r="C268" s="65" t="s">
        <v>802</v>
      </c>
      <c r="D268" s="48" t="s">
        <v>88</v>
      </c>
      <c r="E268" s="38">
        <v>62559517</v>
      </c>
      <c r="F268" s="39">
        <v>62559588</v>
      </c>
      <c r="G268" s="49" t="str">
        <f>HYPERLINK("http://genome.ucsc.edu/cgi-bin/hgTracks?position=chr11:62559367-62559738", "Go2UCSC")</f>
        <v>Go2UCSC</v>
      </c>
      <c r="H268" s="50">
        <v>15.976666666666677</v>
      </c>
      <c r="I268" s="50">
        <v>0</v>
      </c>
      <c r="J268" s="51">
        <v>15.976666666666677</v>
      </c>
      <c r="K268" s="52">
        <v>1</v>
      </c>
      <c r="L268" s="51">
        <v>4.294802867383515</v>
      </c>
      <c r="M268" s="34">
        <v>22.786666666666701</v>
      </c>
      <c r="N268" s="34">
        <v>12.293333333333299</v>
      </c>
      <c r="O268" s="34">
        <v>10.9866666666667</v>
      </c>
      <c r="P268" s="34">
        <v>17.84</v>
      </c>
      <c r="Q268" s="34">
        <v>0</v>
      </c>
      <c r="R268" s="34">
        <v>0</v>
      </c>
      <c r="S268" s="34">
        <v>0</v>
      </c>
      <c r="T268" s="34">
        <v>0</v>
      </c>
    </row>
    <row r="269" spans="1:142" ht="25.5" x14ac:dyDescent="0.2">
      <c r="A269" s="12">
        <v>266</v>
      </c>
      <c r="B269" s="47" t="s">
        <v>522</v>
      </c>
      <c r="C269" s="65" t="s">
        <v>803</v>
      </c>
      <c r="D269" s="48" t="s">
        <v>414</v>
      </c>
      <c r="E269" s="38">
        <v>21341063</v>
      </c>
      <c r="F269" s="39">
        <v>21341136</v>
      </c>
      <c r="G269" s="49" t="str">
        <f>HYPERLINK("http://genome.ucsc.edu/cgi-bin/hgTracks?position=chr13:21340913-21341286", "Go2UCSC")</f>
        <v>Go2UCSC</v>
      </c>
      <c r="H269" s="50">
        <v>15.336666666666677</v>
      </c>
      <c r="I269" s="50">
        <v>0</v>
      </c>
      <c r="J269" s="51">
        <v>15.336666666666677</v>
      </c>
      <c r="K269" s="52">
        <v>1</v>
      </c>
      <c r="L269" s="51">
        <v>4.1007130124777209</v>
      </c>
      <c r="M269" s="34">
        <v>12.626666666666701</v>
      </c>
      <c r="N269" s="34">
        <v>5.44</v>
      </c>
      <c r="O269" s="34">
        <v>20.133333333333301</v>
      </c>
      <c r="P269" s="34">
        <v>23.1466666666667</v>
      </c>
      <c r="Q269" s="34">
        <v>0</v>
      </c>
      <c r="R269" s="34">
        <v>0</v>
      </c>
      <c r="S269" s="34">
        <v>0</v>
      </c>
      <c r="T269" s="34">
        <v>0</v>
      </c>
    </row>
    <row r="270" spans="1:142" x14ac:dyDescent="0.2">
      <c r="A270" s="12">
        <v>267</v>
      </c>
      <c r="B270" s="47" t="s">
        <v>351</v>
      </c>
      <c r="C270" s="65" t="s">
        <v>804</v>
      </c>
      <c r="D270" s="48" t="s">
        <v>252</v>
      </c>
      <c r="E270" s="38">
        <v>96232158</v>
      </c>
      <c r="F270" s="39">
        <v>96232230</v>
      </c>
      <c r="G270" s="49" t="str">
        <f>HYPERLINK("http://genome.ucsc.edu/cgi-bin/hgTracks?position=chr3:96232008-96232380", "Go2UCSC")</f>
        <v>Go2UCSC</v>
      </c>
      <c r="H270" s="50">
        <v>10.066666666666666</v>
      </c>
      <c r="I270" s="50">
        <v>4.7500000000083329</v>
      </c>
      <c r="J270" s="51">
        <v>14.816666666674999</v>
      </c>
      <c r="K270" s="52">
        <v>0.67941507311547844</v>
      </c>
      <c r="L270" s="51">
        <v>3.972296693478552</v>
      </c>
      <c r="M270" s="34">
        <v>4.0533333333333301</v>
      </c>
      <c r="N270" s="34">
        <v>8.1066666666666691</v>
      </c>
      <c r="O270" s="34">
        <v>20</v>
      </c>
      <c r="P270" s="34">
        <v>8.1066666666666691</v>
      </c>
      <c r="Q270" s="34">
        <v>5</v>
      </c>
      <c r="R270" s="34">
        <v>3.8333333333333299</v>
      </c>
      <c r="S270" s="34">
        <v>4.5</v>
      </c>
      <c r="T270" s="34">
        <v>5.6666666667000003</v>
      </c>
    </row>
    <row r="271" spans="1:142" ht="25.5" x14ac:dyDescent="0.2">
      <c r="A271" s="12">
        <v>268</v>
      </c>
      <c r="B271" s="47" t="s">
        <v>66</v>
      </c>
      <c r="C271" s="65" t="s">
        <v>805</v>
      </c>
      <c r="D271" s="48" t="s">
        <v>414</v>
      </c>
      <c r="E271" s="38">
        <v>21988807</v>
      </c>
      <c r="F271" s="39">
        <v>21988900</v>
      </c>
      <c r="G271" s="49" t="str">
        <f>HYPERLINK("http://genome.ucsc.edu/cgi-bin/hgTracks?position=chr13:21988657-21989050", "Go2UCSC")</f>
        <v>Go2UCSC</v>
      </c>
      <c r="H271" s="50">
        <v>15.576666666666668</v>
      </c>
      <c r="I271" s="50">
        <v>0</v>
      </c>
      <c r="J271" s="51">
        <v>15.576666666666668</v>
      </c>
      <c r="K271" s="52">
        <v>1</v>
      </c>
      <c r="L271" s="51">
        <v>3.9534686971235198</v>
      </c>
      <c r="M271" s="34">
        <v>12.68</v>
      </c>
      <c r="N271" s="34">
        <v>8.06666666666667</v>
      </c>
      <c r="O271" s="34">
        <v>22.893333333333299</v>
      </c>
      <c r="P271" s="34">
        <v>18.6666666666667</v>
      </c>
      <c r="Q271" s="34">
        <v>0</v>
      </c>
      <c r="R271" s="34">
        <v>0</v>
      </c>
      <c r="S271" s="34">
        <v>0</v>
      </c>
      <c r="T271" s="34">
        <v>0</v>
      </c>
    </row>
    <row r="272" spans="1:142" x14ac:dyDescent="0.2">
      <c r="A272" s="12">
        <v>269</v>
      </c>
      <c r="B272" s="47" t="s">
        <v>357</v>
      </c>
      <c r="C272" s="65" t="s">
        <v>806</v>
      </c>
      <c r="D272" s="48" t="s">
        <v>127</v>
      </c>
      <c r="E272" s="38">
        <v>82265527</v>
      </c>
      <c r="F272" s="39">
        <v>82265598</v>
      </c>
      <c r="G272" s="49" t="str">
        <f>HYPERLINK("http://genome.ucsc.edu/cgi-bin/hgTracks?position=chr4:82265377-82265748", "Go2UCSC")</f>
        <v>Go2UCSC</v>
      </c>
      <c r="H272" s="50">
        <v>6.13</v>
      </c>
      <c r="I272" s="50">
        <v>8.25</v>
      </c>
      <c r="J272" s="51">
        <v>14.38</v>
      </c>
      <c r="K272" s="54">
        <v>0.42628650904033383</v>
      </c>
      <c r="L272" s="51">
        <v>3.8655913978494625</v>
      </c>
      <c r="M272" s="34">
        <v>4.2933333333333303</v>
      </c>
      <c r="N272" s="34">
        <v>7.0933333333333302</v>
      </c>
      <c r="O272" s="34">
        <v>5.0266666666666699</v>
      </c>
      <c r="P272" s="34">
        <v>8.1066666666666691</v>
      </c>
      <c r="Q272" s="34">
        <v>8</v>
      </c>
      <c r="R272" s="34">
        <v>7.375</v>
      </c>
      <c r="S272" s="34">
        <v>9.125</v>
      </c>
      <c r="T272" s="34">
        <v>8.5</v>
      </c>
    </row>
    <row r="273" spans="1:20" x14ac:dyDescent="0.2">
      <c r="A273" s="12">
        <v>270</v>
      </c>
      <c r="B273" s="47" t="s">
        <v>528</v>
      </c>
      <c r="C273" s="65" t="s">
        <v>807</v>
      </c>
      <c r="D273" s="48" t="s">
        <v>252</v>
      </c>
      <c r="E273" s="38">
        <v>96125997</v>
      </c>
      <c r="F273" s="39">
        <v>96126070</v>
      </c>
      <c r="G273" s="49" t="str">
        <f>HYPERLINK("http://genome.ucsc.edu/cgi-bin/hgTracks?position=chr3:96125847-96126220", "Go2UCSC")</f>
        <v>Go2UCSC</v>
      </c>
      <c r="H273" s="50">
        <v>14.206666666666667</v>
      </c>
      <c r="I273" s="50">
        <v>0</v>
      </c>
      <c r="J273" s="51">
        <v>14.206666666666667</v>
      </c>
      <c r="K273" s="52">
        <v>1</v>
      </c>
      <c r="L273" s="51">
        <v>3.7985739750445635</v>
      </c>
      <c r="M273" s="34">
        <v>13.1466666666667</v>
      </c>
      <c r="N273" s="34">
        <v>10.133333333333301</v>
      </c>
      <c r="O273" s="34">
        <v>9.3866666666666703</v>
      </c>
      <c r="P273" s="34">
        <v>24.16</v>
      </c>
      <c r="Q273" s="34">
        <v>0</v>
      </c>
      <c r="R273" s="34">
        <v>0</v>
      </c>
      <c r="S273" s="34">
        <v>0</v>
      </c>
      <c r="T273" s="34">
        <v>0</v>
      </c>
    </row>
    <row r="274" spans="1:20" ht="25.5" x14ac:dyDescent="0.2">
      <c r="A274" s="12">
        <v>271</v>
      </c>
      <c r="B274" s="37" t="s">
        <v>277</v>
      </c>
      <c r="C274" s="60" t="s">
        <v>808</v>
      </c>
      <c r="D274" s="37" t="s">
        <v>414</v>
      </c>
      <c r="E274" s="38">
        <v>22063657</v>
      </c>
      <c r="F274" s="39">
        <v>22063729</v>
      </c>
      <c r="G274" s="40" t="str">
        <f>HYPERLINK("http://genome.ucsc.edu/cgi-bin/hgTracks?position=chr13:22063507-22063879", "Go2UCSC")</f>
        <v>Go2UCSC</v>
      </c>
      <c r="H274" s="34">
        <v>13.973333333333326</v>
      </c>
      <c r="I274" s="34">
        <v>0</v>
      </c>
      <c r="J274" s="35">
        <v>13.973333333333326</v>
      </c>
      <c r="K274" s="36">
        <v>1</v>
      </c>
      <c r="L274" s="35">
        <v>3.7462019660411059</v>
      </c>
      <c r="M274" s="34">
        <v>11.4</v>
      </c>
      <c r="N274" s="34">
        <v>7.56</v>
      </c>
      <c r="O274" s="34">
        <v>18.053333333333299</v>
      </c>
      <c r="P274" s="34">
        <v>18.88</v>
      </c>
      <c r="Q274" s="34">
        <v>0</v>
      </c>
      <c r="R274" s="34">
        <v>0</v>
      </c>
      <c r="S274" s="34">
        <v>0</v>
      </c>
      <c r="T274" s="34">
        <v>0</v>
      </c>
    </row>
    <row r="275" spans="1:20" x14ac:dyDescent="0.2">
      <c r="A275" s="12">
        <v>272</v>
      </c>
      <c r="B275" s="47" t="s">
        <v>211</v>
      </c>
      <c r="C275" s="65" t="s">
        <v>809</v>
      </c>
      <c r="D275" s="48" t="s">
        <v>252</v>
      </c>
      <c r="E275" s="38">
        <v>97485382</v>
      </c>
      <c r="F275" s="39">
        <v>97485453</v>
      </c>
      <c r="G275" s="49" t="str">
        <f>HYPERLINK("http://genome.ucsc.edu/cgi-bin/hgTracks?position=chr3:97485232-97485603", "Go2UCSC")</f>
        <v>Go2UCSC</v>
      </c>
      <c r="H275" s="50">
        <v>12.743333333333343</v>
      </c>
      <c r="I275" s="50">
        <v>0</v>
      </c>
      <c r="J275" s="51">
        <v>12.743333333333343</v>
      </c>
      <c r="K275" s="52">
        <v>1</v>
      </c>
      <c r="L275" s="51">
        <v>3.4256272401433718</v>
      </c>
      <c r="M275" s="34">
        <v>9.5866666666666696</v>
      </c>
      <c r="N275" s="34">
        <v>13.786666666666701</v>
      </c>
      <c r="O275" s="34">
        <v>13.5733333333333</v>
      </c>
      <c r="P275" s="34">
        <v>14.026666666666699</v>
      </c>
      <c r="Q275" s="34">
        <v>0</v>
      </c>
      <c r="R275" s="34">
        <v>0</v>
      </c>
      <c r="S275" s="34">
        <v>0</v>
      </c>
      <c r="T275" s="34">
        <v>0</v>
      </c>
    </row>
    <row r="276" spans="1:20" ht="25.5" x14ac:dyDescent="0.2">
      <c r="A276" s="12">
        <v>273</v>
      </c>
      <c r="B276" s="37" t="s">
        <v>139</v>
      </c>
      <c r="C276" s="60" t="s">
        <v>810</v>
      </c>
      <c r="D276" s="37" t="s">
        <v>414</v>
      </c>
      <c r="E276" s="38">
        <v>23377270</v>
      </c>
      <c r="F276" s="39">
        <v>23377342</v>
      </c>
      <c r="G276" s="40" t="str">
        <f>HYPERLINK("http://genome.ucsc.edu/cgi-bin/hgTracks?position=chr13:23377120-23377429", "Go2UCSC")</f>
        <v>Go2UCSC</v>
      </c>
      <c r="H276" s="34">
        <v>10.476666666666667</v>
      </c>
      <c r="I276" s="34">
        <v>0</v>
      </c>
      <c r="J276" s="35">
        <v>10.476666666666667</v>
      </c>
      <c r="K276" s="36">
        <v>1</v>
      </c>
      <c r="L276" s="35">
        <v>3.3795698924731186</v>
      </c>
      <c r="M276" s="34">
        <v>11.2266666666667</v>
      </c>
      <c r="N276" s="34">
        <v>3.0266666666666699</v>
      </c>
      <c r="O276" s="34">
        <v>14.293333333333299</v>
      </c>
      <c r="P276" s="34">
        <v>13.36</v>
      </c>
      <c r="Q276" s="34">
        <v>0</v>
      </c>
      <c r="R276" s="34">
        <v>0</v>
      </c>
      <c r="S276" s="34">
        <v>0</v>
      </c>
      <c r="T276" s="34">
        <v>0</v>
      </c>
    </row>
    <row r="277" spans="1:20" ht="25.5" x14ac:dyDescent="0.2">
      <c r="A277" s="12">
        <v>274</v>
      </c>
      <c r="B277" s="47" t="s">
        <v>71</v>
      </c>
      <c r="C277" s="65" t="s">
        <v>811</v>
      </c>
      <c r="D277" s="48" t="s">
        <v>414</v>
      </c>
      <c r="E277" s="38">
        <v>23362290</v>
      </c>
      <c r="F277" s="39">
        <v>23362385</v>
      </c>
      <c r="G277" s="49" t="str">
        <f>HYPERLINK("http://genome.ucsc.edu/cgi-bin/hgTracks?position=chr13:23362140-23362535", "Go2UCSC")</f>
        <v>Go2UCSC</v>
      </c>
      <c r="H277" s="50">
        <v>13.033333333333324</v>
      </c>
      <c r="I277" s="50">
        <v>0</v>
      </c>
      <c r="J277" s="51">
        <v>13.033333333333324</v>
      </c>
      <c r="K277" s="52">
        <v>1</v>
      </c>
      <c r="L277" s="51">
        <v>3.2912457912457889</v>
      </c>
      <c r="M277" s="34">
        <v>17.1733333333333</v>
      </c>
      <c r="N277" s="34">
        <v>10.2266666666667</v>
      </c>
      <c r="O277" s="34">
        <v>15.0133333333333</v>
      </c>
      <c r="P277" s="34">
        <v>9.7200000000000006</v>
      </c>
      <c r="Q277" s="34">
        <v>0</v>
      </c>
      <c r="R277" s="34">
        <v>0</v>
      </c>
      <c r="S277" s="34">
        <v>0</v>
      </c>
      <c r="T277" s="34">
        <v>0</v>
      </c>
    </row>
    <row r="278" spans="1:20" x14ac:dyDescent="0.2">
      <c r="A278" s="12">
        <v>275</v>
      </c>
      <c r="B278" s="47" t="s">
        <v>305</v>
      </c>
      <c r="C278" s="65" t="s">
        <v>812</v>
      </c>
      <c r="D278" s="48" t="s">
        <v>179</v>
      </c>
      <c r="E278" s="38">
        <v>48221925</v>
      </c>
      <c r="F278" s="39">
        <v>48221996</v>
      </c>
      <c r="G278" s="49" t="str">
        <f>HYPERLINK("http://genome.ucsc.edu/cgi-bin/hgTracks?position=chr6:48221775-48222146", "Go2UCSC")</f>
        <v>Go2UCSC</v>
      </c>
      <c r="H278" s="50">
        <v>3.8199999999999976</v>
      </c>
      <c r="I278" s="50">
        <v>7.4670202020244956</v>
      </c>
      <c r="J278" s="51">
        <v>11.287020202024493</v>
      </c>
      <c r="K278" s="52">
        <v>0.33844185016297079</v>
      </c>
      <c r="L278" s="51">
        <v>3.0341452155979822</v>
      </c>
      <c r="M278" s="34">
        <v>6.8</v>
      </c>
      <c r="N278" s="34">
        <v>2.37333333333333</v>
      </c>
      <c r="O278" s="34">
        <v>3.6533333333333298</v>
      </c>
      <c r="P278" s="34">
        <v>2.45333333333333</v>
      </c>
      <c r="Q278" s="34">
        <v>8.6761111111111102</v>
      </c>
      <c r="R278" s="34">
        <v>4.2786868686868704</v>
      </c>
      <c r="S278" s="34">
        <v>4.6411111110999999</v>
      </c>
      <c r="T278" s="34">
        <v>12.272171717199999</v>
      </c>
    </row>
    <row r="279" spans="1:20" ht="25.5" x14ac:dyDescent="0.2">
      <c r="A279" s="12">
        <v>276</v>
      </c>
      <c r="B279" s="37" t="s">
        <v>276</v>
      </c>
      <c r="C279" s="60" t="s">
        <v>813</v>
      </c>
      <c r="D279" s="37" t="s">
        <v>414</v>
      </c>
      <c r="E279" s="38">
        <v>22003182</v>
      </c>
      <c r="F279" s="39">
        <v>22003253</v>
      </c>
      <c r="G279" s="40" t="str">
        <f>HYPERLINK("http://genome.ucsc.edu/cgi-bin/hgTracks?position=chr13:22003032-22003403", "Go2UCSC")</f>
        <v>Go2UCSC</v>
      </c>
      <c r="H279" s="34">
        <v>11.23333333333334</v>
      </c>
      <c r="I279" s="34">
        <v>0</v>
      </c>
      <c r="J279" s="35">
        <v>11.23333333333334</v>
      </c>
      <c r="K279" s="36">
        <v>1</v>
      </c>
      <c r="L279" s="35">
        <v>3.019713261648747</v>
      </c>
      <c r="M279" s="34">
        <v>9.4933333333333305</v>
      </c>
      <c r="N279" s="34">
        <v>4.0533333333333301</v>
      </c>
      <c r="O279" s="34">
        <v>13.706666666666701</v>
      </c>
      <c r="P279" s="34">
        <v>17.68</v>
      </c>
      <c r="Q279" s="34">
        <v>0</v>
      </c>
      <c r="R279" s="34">
        <v>0</v>
      </c>
      <c r="S279" s="34">
        <v>0</v>
      </c>
      <c r="T279" s="34">
        <v>0</v>
      </c>
    </row>
    <row r="280" spans="1:20" ht="25.5" x14ac:dyDescent="0.2">
      <c r="A280" s="12">
        <v>277</v>
      </c>
      <c r="B280" s="37" t="s">
        <v>432</v>
      </c>
      <c r="C280" s="60" t="s">
        <v>814</v>
      </c>
      <c r="D280" s="37" t="s">
        <v>414</v>
      </c>
      <c r="E280" s="38">
        <v>23518964</v>
      </c>
      <c r="F280" s="39">
        <v>23519049</v>
      </c>
      <c r="G280" s="40" t="str">
        <f>HYPERLINK("http://genome.ucsc.edu/cgi-bin/hgTracks?position=chr13:23518814-23519199", "Go2UCSC")</f>
        <v>Go2UCSC</v>
      </c>
      <c r="H280" s="34">
        <v>11.646666666666675</v>
      </c>
      <c r="I280" s="34">
        <v>0</v>
      </c>
      <c r="J280" s="35">
        <v>11.646666666666675</v>
      </c>
      <c r="K280" s="36">
        <v>1</v>
      </c>
      <c r="L280" s="35">
        <v>3.0172711571675324</v>
      </c>
      <c r="M280" s="34">
        <v>10.119999999999999</v>
      </c>
      <c r="N280" s="34">
        <v>3.04</v>
      </c>
      <c r="O280" s="34">
        <v>16.2</v>
      </c>
      <c r="P280" s="34">
        <v>17.226666666666699</v>
      </c>
      <c r="Q280" s="34">
        <v>0</v>
      </c>
      <c r="R280" s="34">
        <v>0</v>
      </c>
      <c r="S280" s="34">
        <v>0</v>
      </c>
      <c r="T280" s="34">
        <v>0</v>
      </c>
    </row>
    <row r="281" spans="1:20" ht="25.5" x14ac:dyDescent="0.2">
      <c r="A281" s="12">
        <v>278</v>
      </c>
      <c r="B281" s="47" t="s">
        <v>521</v>
      </c>
      <c r="C281" s="65" t="s">
        <v>815</v>
      </c>
      <c r="D281" s="48" t="s">
        <v>414</v>
      </c>
      <c r="E281" s="38">
        <v>21334439</v>
      </c>
      <c r="F281" s="39">
        <v>21334510</v>
      </c>
      <c r="G281" s="49" t="str">
        <f>HYPERLINK("http://genome.ucsc.edu/cgi-bin/hgTracks?position=chr13:21334289-21334660", "Go2UCSC")</f>
        <v>Go2UCSC</v>
      </c>
      <c r="H281" s="50">
        <v>11.196666666666665</v>
      </c>
      <c r="I281" s="50">
        <v>0</v>
      </c>
      <c r="J281" s="51">
        <v>11.196666666666665</v>
      </c>
      <c r="K281" s="52">
        <v>1</v>
      </c>
      <c r="L281" s="51">
        <v>3.0098566308243724</v>
      </c>
      <c r="M281" s="34">
        <v>3.88</v>
      </c>
      <c r="N281" s="34">
        <v>1.8133333333333299</v>
      </c>
      <c r="O281" s="34">
        <v>29.32</v>
      </c>
      <c r="P281" s="34">
        <v>9.7733333333333299</v>
      </c>
      <c r="Q281" s="34">
        <v>0</v>
      </c>
      <c r="R281" s="34">
        <v>0</v>
      </c>
      <c r="S281" s="34">
        <v>0</v>
      </c>
      <c r="T281" s="34">
        <v>0</v>
      </c>
    </row>
    <row r="282" spans="1:20" x14ac:dyDescent="0.2">
      <c r="A282" s="12">
        <v>279</v>
      </c>
      <c r="B282" s="47" t="s">
        <v>350</v>
      </c>
      <c r="C282" s="65" t="s">
        <v>816</v>
      </c>
      <c r="D282" s="48" t="s">
        <v>252</v>
      </c>
      <c r="E282" s="38">
        <v>96227956</v>
      </c>
      <c r="F282" s="39">
        <v>96228026</v>
      </c>
      <c r="G282" s="49" t="str">
        <f>HYPERLINK("http://genome.ucsc.edu/cgi-bin/hgTracks?position=chr3:96227806-96228176", "Go2UCSC")</f>
        <v>Go2UCSC</v>
      </c>
      <c r="H282" s="50">
        <v>11.093333333333351</v>
      </c>
      <c r="I282" s="50">
        <v>0</v>
      </c>
      <c r="J282" s="51">
        <v>11.093333333333351</v>
      </c>
      <c r="K282" s="52">
        <v>1</v>
      </c>
      <c r="L282" s="51">
        <v>2.9901168014375608</v>
      </c>
      <c r="M282" s="34">
        <v>11.28</v>
      </c>
      <c r="N282" s="34">
        <v>3.04</v>
      </c>
      <c r="O282" s="34">
        <v>14.266666666666699</v>
      </c>
      <c r="P282" s="34">
        <v>15.786666666666701</v>
      </c>
      <c r="Q282" s="34">
        <v>0</v>
      </c>
      <c r="R282" s="34">
        <v>0</v>
      </c>
      <c r="S282" s="34">
        <v>0</v>
      </c>
      <c r="T282" s="34">
        <v>0</v>
      </c>
    </row>
    <row r="283" spans="1:20" x14ac:dyDescent="0.2">
      <c r="A283" s="12">
        <v>280</v>
      </c>
      <c r="B283" s="47" t="s">
        <v>402</v>
      </c>
      <c r="C283" s="65" t="s">
        <v>817</v>
      </c>
      <c r="D283" s="48" t="s">
        <v>179</v>
      </c>
      <c r="E283" s="38">
        <v>48104713</v>
      </c>
      <c r="F283" s="39">
        <v>48104784</v>
      </c>
      <c r="G283" s="49" t="str">
        <f>HYPERLINK("http://genome.ucsc.edu/cgi-bin/hgTracks?position=chr6:48104563-48104934", "Go2UCSC")</f>
        <v>Go2UCSC</v>
      </c>
      <c r="H283" s="50">
        <v>3.33</v>
      </c>
      <c r="I283" s="50">
        <v>7.513964646449498</v>
      </c>
      <c r="J283" s="51">
        <v>10.843964646449498</v>
      </c>
      <c r="K283" s="52">
        <v>0.3070832586207573</v>
      </c>
      <c r="L283" s="51">
        <v>2.9150442597982522</v>
      </c>
      <c r="M283" s="34">
        <v>1.06666666666667</v>
      </c>
      <c r="N283" s="34">
        <v>2.6133333333333297</v>
      </c>
      <c r="O283" s="34">
        <v>4.0533333333333301</v>
      </c>
      <c r="P283" s="34">
        <v>5.5866666666666696</v>
      </c>
      <c r="Q283" s="34">
        <v>8.8016666666666694</v>
      </c>
      <c r="R283" s="34">
        <v>4.4131313131313199</v>
      </c>
      <c r="S283" s="34">
        <v>6.3111111110999998</v>
      </c>
      <c r="T283" s="34">
        <v>10.5299494949</v>
      </c>
    </row>
    <row r="284" spans="1:20" x14ac:dyDescent="0.2">
      <c r="A284" s="12">
        <v>281</v>
      </c>
      <c r="B284" s="47" t="s">
        <v>359</v>
      </c>
      <c r="C284" s="65" t="s">
        <v>818</v>
      </c>
      <c r="D284" s="48" t="s">
        <v>252</v>
      </c>
      <c r="E284" s="38">
        <v>84032933</v>
      </c>
      <c r="F284" s="39">
        <v>84033003</v>
      </c>
      <c r="G284" s="49" t="str">
        <f>HYPERLINK("http://genome.ucsc.edu/cgi-bin/hgTracks?position=chr3:84032783-84033153", "Go2UCSC")</f>
        <v>Go2UCSC</v>
      </c>
      <c r="H284" s="50">
        <v>10.593333333333327</v>
      </c>
      <c r="I284" s="50">
        <v>0</v>
      </c>
      <c r="J284" s="51">
        <v>10.593333333333327</v>
      </c>
      <c r="K284" s="52">
        <v>1</v>
      </c>
      <c r="L284" s="51">
        <v>2.8553459119496836</v>
      </c>
      <c r="M284" s="34">
        <v>7.4133333333333304</v>
      </c>
      <c r="N284" s="34">
        <v>8.4666666666666703</v>
      </c>
      <c r="O284" s="34">
        <v>15.52</v>
      </c>
      <c r="P284" s="34">
        <v>10.973333333333301</v>
      </c>
      <c r="Q284" s="34">
        <v>0</v>
      </c>
      <c r="R284" s="34">
        <v>0</v>
      </c>
      <c r="S284" s="34">
        <v>0</v>
      </c>
      <c r="T284" s="34">
        <v>0</v>
      </c>
    </row>
    <row r="285" spans="1:20" x14ac:dyDescent="0.2">
      <c r="A285" s="12">
        <v>282</v>
      </c>
      <c r="B285" s="47" t="s">
        <v>352</v>
      </c>
      <c r="C285" s="65" t="s">
        <v>819</v>
      </c>
      <c r="D285" s="48" t="s">
        <v>252</v>
      </c>
      <c r="E285" s="38">
        <v>96239895</v>
      </c>
      <c r="F285" s="39">
        <v>96239966</v>
      </c>
      <c r="G285" s="49" t="str">
        <f>HYPERLINK("http://genome.ucsc.edu/cgi-bin/hgTracks?position=chr3:96239745-96240116", "Go2UCSC")</f>
        <v>Go2UCSC</v>
      </c>
      <c r="H285" s="50">
        <v>10.353333333333342</v>
      </c>
      <c r="I285" s="50">
        <v>0</v>
      </c>
      <c r="J285" s="51">
        <v>10.353333333333342</v>
      </c>
      <c r="K285" s="52">
        <v>1</v>
      </c>
      <c r="L285" s="51">
        <v>2.7831541218638014</v>
      </c>
      <c r="M285" s="34">
        <v>17.1466666666667</v>
      </c>
      <c r="N285" s="34">
        <v>3.9066666666666698</v>
      </c>
      <c r="O285" s="34">
        <v>10.053333333333301</v>
      </c>
      <c r="P285" s="34">
        <v>10.3066666666667</v>
      </c>
      <c r="Q285" s="34">
        <v>0</v>
      </c>
      <c r="R285" s="34">
        <v>0</v>
      </c>
      <c r="S285" s="34">
        <v>0</v>
      </c>
      <c r="T285" s="34">
        <v>0</v>
      </c>
    </row>
    <row r="286" spans="1:20" x14ac:dyDescent="0.2">
      <c r="A286" s="12">
        <v>283</v>
      </c>
      <c r="B286" s="47" t="s">
        <v>404</v>
      </c>
      <c r="C286" s="65" t="s">
        <v>820</v>
      </c>
      <c r="D286" s="48" t="s">
        <v>179</v>
      </c>
      <c r="E286" s="38">
        <v>48110178</v>
      </c>
      <c r="F286" s="39">
        <v>48110249</v>
      </c>
      <c r="G286" s="49" t="str">
        <f>HYPERLINK("http://genome.ucsc.edu/cgi-bin/hgTracks?position=chr6:48110028-48110399", "Go2UCSC")</f>
        <v>Go2UCSC</v>
      </c>
      <c r="H286" s="50">
        <v>2.6966666666666677</v>
      </c>
      <c r="I286" s="50">
        <v>7.6452146464494941</v>
      </c>
      <c r="J286" s="51">
        <v>10.341881313116161</v>
      </c>
      <c r="K286" s="52">
        <v>0.26075204162772608</v>
      </c>
      <c r="L286" s="51">
        <v>2.7800756218054197</v>
      </c>
      <c r="M286" s="34">
        <v>2.0266666666666699</v>
      </c>
      <c r="N286" s="34">
        <v>2.6666666666666701</v>
      </c>
      <c r="O286" s="34">
        <v>2.1333333333333302</v>
      </c>
      <c r="P286" s="34">
        <v>3.96</v>
      </c>
      <c r="Q286" s="34">
        <v>8.8016666666666694</v>
      </c>
      <c r="R286" s="34">
        <v>4.8131313131313096</v>
      </c>
      <c r="S286" s="34">
        <v>6.3111111110999998</v>
      </c>
      <c r="T286" s="34">
        <v>10.6549494949</v>
      </c>
    </row>
    <row r="287" spans="1:20" x14ac:dyDescent="0.2">
      <c r="A287" s="12">
        <v>284</v>
      </c>
      <c r="B287" s="47" t="s">
        <v>73</v>
      </c>
      <c r="C287" s="65" t="s">
        <v>821</v>
      </c>
      <c r="D287" s="48" t="s">
        <v>255</v>
      </c>
      <c r="E287" s="38">
        <v>113154453</v>
      </c>
      <c r="F287" s="39">
        <v>113154523</v>
      </c>
      <c r="G287" s="49" t="str">
        <f>HYPERLINK("http://genome.ucsc.edu/cgi-bin/hgTracks?position=chr8:113154303-113154673", "Go2UCSC")</f>
        <v>Go2UCSC</v>
      </c>
      <c r="H287" s="50">
        <v>9.210000000000008</v>
      </c>
      <c r="I287" s="50">
        <v>1.0833333333333335</v>
      </c>
      <c r="J287" s="51">
        <v>10.293333333333342</v>
      </c>
      <c r="K287" s="52">
        <v>0.89475388601036276</v>
      </c>
      <c r="L287" s="51">
        <v>2.7744833782569653</v>
      </c>
      <c r="M287" s="34">
        <v>5.92</v>
      </c>
      <c r="N287" s="34">
        <v>8.8800000000000008</v>
      </c>
      <c r="O287" s="34">
        <v>5.4133333333333304</v>
      </c>
      <c r="P287" s="34">
        <v>16.626666666666701</v>
      </c>
      <c r="Q287" s="34">
        <v>0.83333333333333404</v>
      </c>
      <c r="R287" s="34">
        <v>1.5</v>
      </c>
      <c r="S287" s="34">
        <v>1.3333333333000001</v>
      </c>
      <c r="T287" s="34">
        <v>0.66666666670000008</v>
      </c>
    </row>
    <row r="288" spans="1:20" ht="25.5" x14ac:dyDescent="0.2">
      <c r="A288" s="12">
        <v>285</v>
      </c>
      <c r="B288" s="37" t="s">
        <v>278</v>
      </c>
      <c r="C288" s="60" t="s">
        <v>822</v>
      </c>
      <c r="D288" s="37" t="s">
        <v>414</v>
      </c>
      <c r="E288" s="38">
        <v>23488929</v>
      </c>
      <c r="F288" s="39">
        <v>23489002</v>
      </c>
      <c r="G288" s="40" t="str">
        <f>HYPERLINK("http://genome.ucsc.edu/cgi-bin/hgTracks?position=chr13:23488779-23489152", "Go2UCSC")</f>
        <v>Go2UCSC</v>
      </c>
      <c r="H288" s="34">
        <v>8.9366666666666674</v>
      </c>
      <c r="I288" s="34">
        <v>1.25</v>
      </c>
      <c r="J288" s="35">
        <v>10.186666666666667</v>
      </c>
      <c r="K288" s="36">
        <v>0.87729057591623039</v>
      </c>
      <c r="L288" s="35">
        <v>2.7237076648841358</v>
      </c>
      <c r="M288" s="34">
        <v>11.0133333333333</v>
      </c>
      <c r="N288" s="34">
        <v>3.16</v>
      </c>
      <c r="O288" s="34">
        <v>15.186666666666699</v>
      </c>
      <c r="P288" s="34">
        <v>6.3866666666666703</v>
      </c>
      <c r="Q288" s="34">
        <v>0.5</v>
      </c>
      <c r="R288" s="34">
        <v>1.5</v>
      </c>
      <c r="S288" s="34">
        <v>1.5</v>
      </c>
      <c r="T288" s="34">
        <v>1.5</v>
      </c>
    </row>
    <row r="289" spans="1:20" x14ac:dyDescent="0.2">
      <c r="A289" s="12">
        <v>286</v>
      </c>
      <c r="B289" s="47" t="s">
        <v>282</v>
      </c>
      <c r="C289" s="65" t="s">
        <v>823</v>
      </c>
      <c r="D289" s="48" t="s">
        <v>179</v>
      </c>
      <c r="E289" s="38">
        <v>48203079</v>
      </c>
      <c r="F289" s="39">
        <v>48203150</v>
      </c>
      <c r="G289" s="49" t="str">
        <f>HYPERLINK("http://genome.ucsc.edu/cgi-bin/hgTracks?position=chr6:48202929-48203300", "Go2UCSC")</f>
        <v>Go2UCSC</v>
      </c>
      <c r="H289" s="50">
        <v>6.3433333333333275</v>
      </c>
      <c r="I289" s="50">
        <v>3.7566666666833353</v>
      </c>
      <c r="J289" s="51">
        <v>10.100000000016664</v>
      </c>
      <c r="K289" s="52">
        <v>0.62805280527949126</v>
      </c>
      <c r="L289" s="51">
        <v>2.71505376344534</v>
      </c>
      <c r="M289" s="34">
        <v>4.3866666666666703</v>
      </c>
      <c r="N289" s="34">
        <v>6.2666666666666702</v>
      </c>
      <c r="O289" s="34">
        <v>4.3466666666666702</v>
      </c>
      <c r="P289" s="34">
        <v>10.373333333333299</v>
      </c>
      <c r="Q289" s="34">
        <v>3.5966666666666702</v>
      </c>
      <c r="R289" s="34">
        <v>1.32666666666667</v>
      </c>
      <c r="S289" s="34">
        <v>2.4166666666999999</v>
      </c>
      <c r="T289" s="34">
        <v>7.6866666666999999</v>
      </c>
    </row>
    <row r="290" spans="1:20" x14ac:dyDescent="0.2">
      <c r="A290" s="12">
        <v>287</v>
      </c>
      <c r="B290" s="47" t="s">
        <v>531</v>
      </c>
      <c r="C290" s="65" t="s">
        <v>824</v>
      </c>
      <c r="D290" s="48" t="s">
        <v>252</v>
      </c>
      <c r="E290" s="38">
        <v>96145079</v>
      </c>
      <c r="F290" s="39">
        <v>96145150</v>
      </c>
      <c r="G290" s="49" t="str">
        <f>HYPERLINK("http://genome.ucsc.edu/cgi-bin/hgTracks?position=chr3:96144929-96145300", "Go2UCSC")</f>
        <v>Go2UCSC</v>
      </c>
      <c r="H290" s="50">
        <v>8.7599999999999927</v>
      </c>
      <c r="I290" s="50">
        <v>1.125</v>
      </c>
      <c r="J290" s="51">
        <v>9.8849999999999927</v>
      </c>
      <c r="K290" s="52">
        <v>0.88619119878603936</v>
      </c>
      <c r="L290" s="51">
        <v>2.6572580645161272</v>
      </c>
      <c r="M290" s="34">
        <v>10.3466666666667</v>
      </c>
      <c r="N290" s="34">
        <v>1.82666666666667</v>
      </c>
      <c r="O290" s="34">
        <v>11.453333333333299</v>
      </c>
      <c r="P290" s="34">
        <v>11.4133333333333</v>
      </c>
      <c r="Q290" s="34">
        <v>0.5</v>
      </c>
      <c r="R290" s="34">
        <v>0.5</v>
      </c>
      <c r="S290" s="34">
        <v>1.5</v>
      </c>
      <c r="T290" s="34">
        <v>2</v>
      </c>
    </row>
    <row r="291" spans="1:20" ht="25.5" x14ac:dyDescent="0.2">
      <c r="A291" s="12">
        <v>288</v>
      </c>
      <c r="B291" s="47" t="s">
        <v>56</v>
      </c>
      <c r="C291" s="65" t="s">
        <v>825</v>
      </c>
      <c r="D291" s="48" t="s">
        <v>88</v>
      </c>
      <c r="E291" s="38">
        <v>7769780</v>
      </c>
      <c r="F291" s="39">
        <v>7769851</v>
      </c>
      <c r="G291" s="49" t="str">
        <f>HYPERLINK("http://genome.ucsc.edu/cgi-bin/hgTracks?position=chr11:7769630-7770001", "Go2UCSC")</f>
        <v>Go2UCSC</v>
      </c>
      <c r="H291" s="50">
        <v>4.0133333333333328</v>
      </c>
      <c r="I291" s="50">
        <v>5.5002830992671674</v>
      </c>
      <c r="J291" s="51">
        <v>9.5136164326005002</v>
      </c>
      <c r="K291" s="52">
        <v>0.42185149693241392</v>
      </c>
      <c r="L291" s="51">
        <v>2.5574237722044355</v>
      </c>
      <c r="M291" s="34">
        <v>2.4666666666666699</v>
      </c>
      <c r="N291" s="34">
        <v>3.48</v>
      </c>
      <c r="O291" s="34">
        <v>7.3333333333333304</v>
      </c>
      <c r="P291" s="34">
        <v>2.7733333333333299</v>
      </c>
      <c r="Q291" s="34">
        <v>4.5580189562078504</v>
      </c>
      <c r="R291" s="34">
        <v>4.90976204886082</v>
      </c>
      <c r="S291" s="34">
        <v>7.6106865718999996</v>
      </c>
      <c r="T291" s="34">
        <v>4.9226648200999996</v>
      </c>
    </row>
    <row r="292" spans="1:20" x14ac:dyDescent="0.2">
      <c r="A292" s="12">
        <v>289</v>
      </c>
      <c r="B292" s="47" t="s">
        <v>240</v>
      </c>
      <c r="C292" s="65" t="s">
        <v>826</v>
      </c>
      <c r="D292" s="48" t="s">
        <v>259</v>
      </c>
      <c r="E292" s="38">
        <v>29579007</v>
      </c>
      <c r="F292" s="39">
        <v>29579079</v>
      </c>
      <c r="G292" s="49" t="str">
        <f>HYPERLINK("http://genome.ucsc.edu/cgi-bin/hgTracks?position=chr7:29578857-29579229", "Go2UCSC")</f>
        <v>Go2UCSC</v>
      </c>
      <c r="H292" s="50">
        <v>9.043333333333333</v>
      </c>
      <c r="I292" s="50">
        <v>0.375</v>
      </c>
      <c r="J292" s="51">
        <v>9.418333333333333</v>
      </c>
      <c r="K292" s="52">
        <v>0.96018403822332332</v>
      </c>
      <c r="L292" s="51">
        <v>2.5250223413762285</v>
      </c>
      <c r="M292" s="34">
        <v>11.7733333333333</v>
      </c>
      <c r="N292" s="34">
        <v>4.0533333333333301</v>
      </c>
      <c r="O292" s="34">
        <v>9.1999999999999993</v>
      </c>
      <c r="P292" s="34">
        <v>11.1466666666667</v>
      </c>
      <c r="Q292" s="34">
        <v>0</v>
      </c>
      <c r="R292" s="34">
        <v>0</v>
      </c>
      <c r="S292" s="34">
        <v>1</v>
      </c>
      <c r="T292" s="34">
        <v>0.5</v>
      </c>
    </row>
    <row r="293" spans="1:20" x14ac:dyDescent="0.2">
      <c r="A293" s="12">
        <v>290</v>
      </c>
      <c r="B293" s="47" t="s">
        <v>313</v>
      </c>
      <c r="C293" s="65" t="s">
        <v>827</v>
      </c>
      <c r="D293" s="48" t="s">
        <v>179</v>
      </c>
      <c r="E293" s="38">
        <v>48287090</v>
      </c>
      <c r="F293" s="39">
        <v>48287161</v>
      </c>
      <c r="G293" s="49" t="str">
        <f>HYPERLINK("http://genome.ucsc.edu/cgi-bin/hgTracks?position=chr6:48286940-48287311", "Go2UCSC")</f>
        <v>Go2UCSC</v>
      </c>
      <c r="H293" s="50">
        <v>8.6133333333333262</v>
      </c>
      <c r="I293" s="50">
        <v>0.68382575756060582</v>
      </c>
      <c r="J293" s="51">
        <v>9.2971590908939312</v>
      </c>
      <c r="K293" s="52">
        <v>0.92644788038204318</v>
      </c>
      <c r="L293" s="51">
        <v>2.4992363147564332</v>
      </c>
      <c r="M293" s="34">
        <v>7.0933333333333302</v>
      </c>
      <c r="N293" s="34">
        <v>8.8800000000000008</v>
      </c>
      <c r="O293" s="34">
        <v>10.893333333333301</v>
      </c>
      <c r="P293" s="34">
        <v>7.5866666666666696</v>
      </c>
      <c r="Q293" s="34">
        <v>0.51333333333333309</v>
      </c>
      <c r="R293" s="34">
        <v>1.4909090909090901</v>
      </c>
      <c r="S293" s="34">
        <v>1.33333333E-2</v>
      </c>
      <c r="T293" s="34">
        <v>0.71772727270000003</v>
      </c>
    </row>
    <row r="294" spans="1:20" x14ac:dyDescent="0.2">
      <c r="A294" s="12">
        <v>291</v>
      </c>
      <c r="B294" s="47" t="s">
        <v>317</v>
      </c>
      <c r="C294" s="65" t="s">
        <v>828</v>
      </c>
      <c r="D294" s="48" t="s">
        <v>179</v>
      </c>
      <c r="E294" s="38">
        <v>48304018</v>
      </c>
      <c r="F294" s="39">
        <v>48304089</v>
      </c>
      <c r="G294" s="49" t="str">
        <f>HYPERLINK("http://genome.ucsc.edu/cgi-bin/hgTracks?position=chr6:48303868-48304239", "Go2UCSC")</f>
        <v>Go2UCSC</v>
      </c>
      <c r="H294" s="50">
        <v>7.4666666666666748</v>
      </c>
      <c r="I294" s="50">
        <v>1.7557702020106074</v>
      </c>
      <c r="J294" s="51">
        <v>9.2224368686772813</v>
      </c>
      <c r="K294" s="52">
        <v>0.80961971038545844</v>
      </c>
      <c r="L294" s="51">
        <v>2.4791496958809898</v>
      </c>
      <c r="M294" s="34">
        <v>11.1466666666667</v>
      </c>
      <c r="N294" s="34">
        <v>3.1466666666666701</v>
      </c>
      <c r="O294" s="34">
        <v>9.6933333333333298</v>
      </c>
      <c r="P294" s="34">
        <v>5.88</v>
      </c>
      <c r="Q294" s="34">
        <v>2.4938888888888902</v>
      </c>
      <c r="R294" s="34">
        <v>1.89535353535354</v>
      </c>
      <c r="S294" s="34">
        <v>0.33333333330000003</v>
      </c>
      <c r="T294" s="34">
        <v>2.3005050505</v>
      </c>
    </row>
    <row r="295" spans="1:20" x14ac:dyDescent="0.2">
      <c r="A295" s="12">
        <v>292</v>
      </c>
      <c r="B295" s="47" t="s">
        <v>146</v>
      </c>
      <c r="C295" s="65" t="s">
        <v>829</v>
      </c>
      <c r="D295" s="48" t="s">
        <v>179</v>
      </c>
      <c r="E295" s="38">
        <v>48259706</v>
      </c>
      <c r="F295" s="39">
        <v>48259777</v>
      </c>
      <c r="G295" s="49" t="str">
        <f>HYPERLINK("http://genome.ucsc.edu/cgi-bin/hgTracks?position=chr6:48259556-48259927", "Go2UCSC")</f>
        <v>Go2UCSC</v>
      </c>
      <c r="H295" s="50">
        <v>6.9266666666666747</v>
      </c>
      <c r="I295" s="50">
        <v>1.937436868677274</v>
      </c>
      <c r="J295" s="51">
        <v>8.8641035353439488</v>
      </c>
      <c r="K295" s="52">
        <v>0.78142889904747748</v>
      </c>
      <c r="L295" s="51">
        <v>2.3828235310064376</v>
      </c>
      <c r="M295" s="34">
        <v>5.06666666666667</v>
      </c>
      <c r="N295" s="34">
        <v>2.2933333333333299</v>
      </c>
      <c r="O295" s="34">
        <v>12.3066666666667</v>
      </c>
      <c r="P295" s="34">
        <v>8.0399999999999991</v>
      </c>
      <c r="Q295" s="34">
        <v>2.1805555555555598</v>
      </c>
      <c r="R295" s="34">
        <v>0.93535353535353605</v>
      </c>
      <c r="S295" s="34">
        <v>1.3333333333000001</v>
      </c>
      <c r="T295" s="34">
        <v>3.3005050505</v>
      </c>
    </row>
    <row r="296" spans="1:20" ht="25.5" x14ac:dyDescent="0.2">
      <c r="A296" s="12">
        <v>293</v>
      </c>
      <c r="B296" s="47" t="s">
        <v>78</v>
      </c>
      <c r="C296" s="65" t="s">
        <v>830</v>
      </c>
      <c r="D296" s="48" t="s">
        <v>46</v>
      </c>
      <c r="E296" s="38">
        <v>46446083</v>
      </c>
      <c r="F296" s="39">
        <v>46446154</v>
      </c>
      <c r="G296" s="49" t="str">
        <f>HYPERLINK("http://genome.ucsc.edu/cgi-bin/hgTracks?position=chr18:46445933-46446304", "Go2UCSC")</f>
        <v>Go2UCSC</v>
      </c>
      <c r="H296" s="50">
        <v>8.583333333333341</v>
      </c>
      <c r="I296" s="50">
        <v>0</v>
      </c>
      <c r="J296" s="51">
        <v>8.583333333333341</v>
      </c>
      <c r="K296" s="52">
        <v>1</v>
      </c>
      <c r="L296" s="51">
        <v>2.3073476702508979</v>
      </c>
      <c r="M296" s="34">
        <v>7.8533333333333299</v>
      </c>
      <c r="N296" s="34">
        <v>5.6133333333333297</v>
      </c>
      <c r="O296" s="34">
        <v>10.5866666666667</v>
      </c>
      <c r="P296" s="34">
        <v>10.28</v>
      </c>
      <c r="Q296" s="34">
        <v>0</v>
      </c>
      <c r="R296" s="34">
        <v>0</v>
      </c>
      <c r="S296" s="34">
        <v>0</v>
      </c>
      <c r="T296" s="34">
        <v>0</v>
      </c>
    </row>
    <row r="297" spans="1:20" ht="25.5" x14ac:dyDescent="0.2">
      <c r="A297" s="12">
        <v>294</v>
      </c>
      <c r="B297" s="47" t="s">
        <v>214</v>
      </c>
      <c r="C297" s="65" t="s">
        <v>831</v>
      </c>
      <c r="D297" s="48" t="s">
        <v>414</v>
      </c>
      <c r="E297" s="38">
        <v>23503946</v>
      </c>
      <c r="F297" s="39">
        <v>23504018</v>
      </c>
      <c r="G297" s="49" t="str">
        <f>HYPERLINK("http://genome.ucsc.edu/cgi-bin/hgTracks?position=chr13:23503796-23504168", "Go2UCSC")</f>
        <v>Go2UCSC</v>
      </c>
      <c r="H297" s="50">
        <v>8.4100000000000072</v>
      </c>
      <c r="I297" s="50">
        <v>0</v>
      </c>
      <c r="J297" s="51">
        <v>8.4100000000000072</v>
      </c>
      <c r="K297" s="52">
        <v>1</v>
      </c>
      <c r="L297" s="51">
        <v>2.2546916890080446</v>
      </c>
      <c r="M297" s="34">
        <v>9.0399999999999991</v>
      </c>
      <c r="N297" s="34">
        <v>5.1733333333333302</v>
      </c>
      <c r="O297" s="34">
        <v>8.08</v>
      </c>
      <c r="P297" s="34">
        <v>11.3466666666667</v>
      </c>
      <c r="Q297" s="34">
        <v>0</v>
      </c>
      <c r="R297" s="34">
        <v>0</v>
      </c>
      <c r="S297" s="34">
        <v>0</v>
      </c>
      <c r="T297" s="34">
        <v>0</v>
      </c>
    </row>
    <row r="298" spans="1:20" ht="25.5" x14ac:dyDescent="0.2">
      <c r="A298" s="12">
        <v>295</v>
      </c>
      <c r="B298" s="47" t="s">
        <v>453</v>
      </c>
      <c r="C298" s="65" t="s">
        <v>832</v>
      </c>
      <c r="D298" s="48" t="s">
        <v>88</v>
      </c>
      <c r="E298" s="38">
        <v>51790041</v>
      </c>
      <c r="F298" s="39">
        <v>51790112</v>
      </c>
      <c r="G298" s="49" t="str">
        <f>HYPERLINK("http://genome.ucsc.edu/cgi-bin/hgTracks?position=chr11:51789891-51790262", "Go2UCSC")</f>
        <v>Go2UCSC</v>
      </c>
      <c r="H298" s="50">
        <v>8.3500000000000014</v>
      </c>
      <c r="I298" s="50">
        <v>0</v>
      </c>
      <c r="J298" s="51">
        <v>8.3500000000000014</v>
      </c>
      <c r="K298" s="52">
        <v>1</v>
      </c>
      <c r="L298" s="51">
        <v>2.2446236559139789</v>
      </c>
      <c r="M298" s="34">
        <v>8.1866666666666692</v>
      </c>
      <c r="N298" s="34">
        <v>4.4133333333333304</v>
      </c>
      <c r="O298" s="34">
        <v>6.64</v>
      </c>
      <c r="P298" s="34">
        <v>14.16</v>
      </c>
      <c r="Q298" s="34">
        <v>0</v>
      </c>
      <c r="R298" s="34">
        <v>0</v>
      </c>
      <c r="S298" s="34">
        <v>0</v>
      </c>
      <c r="T298" s="34">
        <v>0</v>
      </c>
    </row>
    <row r="299" spans="1:20" ht="25.5" x14ac:dyDescent="0.2">
      <c r="A299" s="12">
        <v>296</v>
      </c>
      <c r="B299" s="47" t="s">
        <v>68</v>
      </c>
      <c r="C299" s="65" t="s">
        <v>833</v>
      </c>
      <c r="D299" s="48" t="s">
        <v>414</v>
      </c>
      <c r="E299" s="38">
        <v>21999809</v>
      </c>
      <c r="F299" s="39">
        <v>21999881</v>
      </c>
      <c r="G299" s="49" t="str">
        <f>HYPERLINK("http://genome.ucsc.edu/cgi-bin/hgTracks?position=chr13:21999659-22000031", "Go2UCSC")</f>
        <v>Go2UCSC</v>
      </c>
      <c r="H299" s="50">
        <v>7.8366666666666749</v>
      </c>
      <c r="I299" s="50">
        <v>0.375</v>
      </c>
      <c r="J299" s="51">
        <v>8.2116666666666749</v>
      </c>
      <c r="K299" s="52">
        <v>0.95433326567891219</v>
      </c>
      <c r="L299" s="51">
        <v>2.2015192135835591</v>
      </c>
      <c r="M299" s="34">
        <v>8.8533333333333299</v>
      </c>
      <c r="N299" s="34">
        <v>3.62666666666667</v>
      </c>
      <c r="O299" s="34">
        <v>10.7466666666667</v>
      </c>
      <c r="P299" s="34">
        <v>8.1199999999999992</v>
      </c>
      <c r="Q299" s="34">
        <v>0</v>
      </c>
      <c r="R299" s="34">
        <v>0</v>
      </c>
      <c r="S299" s="34">
        <v>1</v>
      </c>
      <c r="T299" s="34">
        <v>0.5</v>
      </c>
    </row>
    <row r="300" spans="1:20" x14ac:dyDescent="0.2">
      <c r="A300" s="12">
        <v>297</v>
      </c>
      <c r="B300" s="47" t="s">
        <v>438</v>
      </c>
      <c r="C300" s="65" t="s">
        <v>834</v>
      </c>
      <c r="D300" s="48" t="s">
        <v>179</v>
      </c>
      <c r="E300" s="38">
        <v>48229770</v>
      </c>
      <c r="F300" s="39">
        <v>48229841</v>
      </c>
      <c r="G300" s="49" t="str">
        <f>HYPERLINK("http://genome.ucsc.edu/cgi-bin/hgTracks?position=chr6:48229620-48229991", "Go2UCSC")</f>
        <v>Go2UCSC</v>
      </c>
      <c r="H300" s="50">
        <v>5.33</v>
      </c>
      <c r="I300" s="50">
        <v>2.808270202010605</v>
      </c>
      <c r="J300" s="51">
        <v>8.1382702020106059</v>
      </c>
      <c r="K300" s="52">
        <v>0.65493033134770995</v>
      </c>
      <c r="L300" s="51">
        <v>2.1877070435512382</v>
      </c>
      <c r="M300" s="34">
        <v>3.04</v>
      </c>
      <c r="N300" s="34">
        <v>7.12</v>
      </c>
      <c r="O300" s="34">
        <v>6</v>
      </c>
      <c r="P300" s="34">
        <v>5.16</v>
      </c>
      <c r="Q300" s="34">
        <v>3.6472222222222199</v>
      </c>
      <c r="R300" s="34">
        <v>1.1520202020201999</v>
      </c>
      <c r="S300" s="34">
        <v>1.65</v>
      </c>
      <c r="T300" s="34">
        <v>4.7838383838</v>
      </c>
    </row>
    <row r="301" spans="1:20" x14ac:dyDescent="0.2">
      <c r="A301" s="12">
        <v>298</v>
      </c>
      <c r="B301" s="47" t="s">
        <v>343</v>
      </c>
      <c r="C301" s="65" t="s">
        <v>835</v>
      </c>
      <c r="D301" s="48" t="s">
        <v>252</v>
      </c>
      <c r="E301" s="38">
        <v>3123740</v>
      </c>
      <c r="F301" s="39">
        <v>3123812</v>
      </c>
      <c r="G301" s="49" t="str">
        <f>HYPERLINK("http://genome.ucsc.edu/cgi-bin/hgTracks?position=chr3:3123590-3123962", "Go2UCSC")</f>
        <v>Go2UCSC</v>
      </c>
      <c r="H301" s="50">
        <v>8.1466666666666754</v>
      </c>
      <c r="I301" s="50">
        <v>0</v>
      </c>
      <c r="J301" s="51">
        <v>8.1466666666666754</v>
      </c>
      <c r="K301" s="52">
        <v>1</v>
      </c>
      <c r="L301" s="51">
        <v>2.1840929401251139</v>
      </c>
      <c r="M301" s="34">
        <v>6.52</v>
      </c>
      <c r="N301" s="34">
        <v>8.8133333333333308</v>
      </c>
      <c r="O301" s="34">
        <v>10.3466666666667</v>
      </c>
      <c r="P301" s="34">
        <v>6.9066666666666698</v>
      </c>
      <c r="Q301" s="34">
        <v>0</v>
      </c>
      <c r="R301" s="34">
        <v>0</v>
      </c>
      <c r="S301" s="34">
        <v>0</v>
      </c>
      <c r="T301" s="34">
        <v>0</v>
      </c>
    </row>
    <row r="302" spans="1:20" x14ac:dyDescent="0.2">
      <c r="A302" s="12">
        <v>299</v>
      </c>
      <c r="B302" s="47" t="s">
        <v>141</v>
      </c>
      <c r="C302" s="65" t="s">
        <v>836</v>
      </c>
      <c r="D302" s="48" t="s">
        <v>179</v>
      </c>
      <c r="E302" s="38">
        <v>48248949</v>
      </c>
      <c r="F302" s="39">
        <v>48249020</v>
      </c>
      <c r="G302" s="49" t="str">
        <f>HYPERLINK("http://genome.ucsc.edu/cgi-bin/hgTracks?position=chr6:48248799-48249170", "Go2UCSC")</f>
        <v>Go2UCSC</v>
      </c>
      <c r="H302" s="50">
        <v>3.5866666666666678</v>
      </c>
      <c r="I302" s="50">
        <v>4.4695202020189404</v>
      </c>
      <c r="J302" s="51">
        <v>8.0561868686856073</v>
      </c>
      <c r="K302" s="52">
        <v>0.44520648851977834</v>
      </c>
      <c r="L302" s="51">
        <v>2.165641631367099</v>
      </c>
      <c r="M302" s="34">
        <v>3.9866666666666699</v>
      </c>
      <c r="N302" s="34">
        <v>4.0533333333333301</v>
      </c>
      <c r="O302" s="34">
        <v>2.0266666666666699</v>
      </c>
      <c r="P302" s="34">
        <v>4.28</v>
      </c>
      <c r="Q302" s="34">
        <v>5.7638888888888902</v>
      </c>
      <c r="R302" s="34">
        <v>3.56868686868687</v>
      </c>
      <c r="S302" s="34">
        <v>3.2633333332999999</v>
      </c>
      <c r="T302" s="34">
        <v>5.2821717171999998</v>
      </c>
    </row>
    <row r="303" spans="1:20" x14ac:dyDescent="0.2">
      <c r="A303" s="12">
        <v>300</v>
      </c>
      <c r="B303" s="47" t="s">
        <v>83</v>
      </c>
      <c r="C303" s="65" t="s">
        <v>837</v>
      </c>
      <c r="D303" s="48" t="s">
        <v>179</v>
      </c>
      <c r="E303" s="38">
        <v>48093355</v>
      </c>
      <c r="F303" s="39">
        <v>48093426</v>
      </c>
      <c r="G303" s="49" t="str">
        <f>HYPERLINK("http://genome.ucsc.edu/cgi-bin/hgTracks?position=chr6:48093205-48093576", "Go2UCSC")</f>
        <v>Go2UCSC</v>
      </c>
      <c r="H303" s="50">
        <v>4.5333333333333252</v>
      </c>
      <c r="I303" s="50">
        <v>3.4677777777777772</v>
      </c>
      <c r="J303" s="51">
        <v>8.0011111111111024</v>
      </c>
      <c r="K303" s="52">
        <v>0.56658797389251458</v>
      </c>
      <c r="L303" s="51">
        <v>2.1508363201911567</v>
      </c>
      <c r="M303" s="34">
        <v>2.93333333333333</v>
      </c>
      <c r="N303" s="34">
        <v>2.0266666666666699</v>
      </c>
      <c r="O303" s="34">
        <v>3.04</v>
      </c>
      <c r="P303" s="34">
        <v>10.133333333333301</v>
      </c>
      <c r="Q303" s="34">
        <v>3.81111111111111</v>
      </c>
      <c r="R303" s="34">
        <v>2.96</v>
      </c>
      <c r="S303" s="34">
        <v>2.2733333333000001</v>
      </c>
      <c r="T303" s="34">
        <v>4.8266666666999996</v>
      </c>
    </row>
    <row r="304" spans="1:20" x14ac:dyDescent="0.2">
      <c r="A304" s="12">
        <v>301</v>
      </c>
      <c r="B304" s="47" t="s">
        <v>513</v>
      </c>
      <c r="C304" s="65" t="s">
        <v>838</v>
      </c>
      <c r="D304" s="48" t="s">
        <v>252</v>
      </c>
      <c r="E304" s="38">
        <v>96150598</v>
      </c>
      <c r="F304" s="39">
        <v>96150669</v>
      </c>
      <c r="G304" s="49" t="str">
        <f>HYPERLINK("http://genome.ucsc.edu/cgi-bin/hgTracks?position=chr3:96150448-96150819", "Go2UCSC")</f>
        <v>Go2UCSC</v>
      </c>
      <c r="H304" s="50">
        <v>0</v>
      </c>
      <c r="I304" s="50">
        <v>7.7183333333333355</v>
      </c>
      <c r="J304" s="51">
        <v>7.7183333333333355</v>
      </c>
      <c r="K304" s="52">
        <v>0</v>
      </c>
      <c r="L304" s="51">
        <v>2.0748207885304666</v>
      </c>
      <c r="M304" s="34">
        <v>0</v>
      </c>
      <c r="N304" s="34">
        <v>0</v>
      </c>
      <c r="O304" s="34">
        <v>0</v>
      </c>
      <c r="P304" s="34">
        <v>0</v>
      </c>
      <c r="Q304" s="34">
        <v>9.0266666666666708</v>
      </c>
      <c r="R304" s="34">
        <v>5.3466666666666702</v>
      </c>
      <c r="S304" s="34">
        <v>6.96</v>
      </c>
      <c r="T304" s="34">
        <v>9.5399999999999991</v>
      </c>
    </row>
    <row r="305" spans="1:20" x14ac:dyDescent="0.2">
      <c r="A305" s="12">
        <v>302</v>
      </c>
      <c r="B305" s="47" t="s">
        <v>515</v>
      </c>
      <c r="C305" s="65" t="s">
        <v>839</v>
      </c>
      <c r="D305" s="48" t="s">
        <v>252</v>
      </c>
      <c r="E305" s="38">
        <v>96191328</v>
      </c>
      <c r="F305" s="39">
        <v>96191399</v>
      </c>
      <c r="G305" s="49" t="str">
        <f>HYPERLINK("http://genome.ucsc.edu/cgi-bin/hgTracks?position=chr3:96191178-96191549", "Go2UCSC")</f>
        <v>Go2UCSC</v>
      </c>
      <c r="H305" s="50">
        <v>0</v>
      </c>
      <c r="I305" s="50">
        <v>7.7183333333333355</v>
      </c>
      <c r="J305" s="51">
        <v>7.7183333333333355</v>
      </c>
      <c r="K305" s="52">
        <v>0</v>
      </c>
      <c r="L305" s="51">
        <v>2.0748207885304666</v>
      </c>
      <c r="M305" s="34">
        <v>0</v>
      </c>
      <c r="N305" s="34">
        <v>0</v>
      </c>
      <c r="O305" s="34">
        <v>0</v>
      </c>
      <c r="P305" s="34">
        <v>0</v>
      </c>
      <c r="Q305" s="34">
        <v>9.0266666666666708</v>
      </c>
      <c r="R305" s="34">
        <v>5.3466666666666702</v>
      </c>
      <c r="S305" s="34">
        <v>6.96</v>
      </c>
      <c r="T305" s="34">
        <v>9.5399999999999991</v>
      </c>
    </row>
    <row r="306" spans="1:20" x14ac:dyDescent="0.2">
      <c r="A306" s="12">
        <v>303</v>
      </c>
      <c r="B306" s="47" t="s">
        <v>148</v>
      </c>
      <c r="C306" s="65" t="s">
        <v>840</v>
      </c>
      <c r="D306" s="48" t="s">
        <v>179</v>
      </c>
      <c r="E306" s="38">
        <v>48263017</v>
      </c>
      <c r="F306" s="39">
        <v>48263088</v>
      </c>
      <c r="G306" s="49" t="str">
        <f>HYPERLINK("http://genome.ucsc.edu/cgi-bin/hgTracks?position=chr6:48262867-48263238", "Go2UCSC")</f>
        <v>Go2UCSC</v>
      </c>
      <c r="H306" s="50">
        <v>7.296666666666674</v>
      </c>
      <c r="I306" s="50">
        <v>0.33327020201060598</v>
      </c>
      <c r="J306" s="51">
        <v>7.6299368686772802</v>
      </c>
      <c r="K306" s="52">
        <v>0.95632071303515498</v>
      </c>
      <c r="L306" s="51">
        <v>2.0510582980315268</v>
      </c>
      <c r="M306" s="34">
        <v>8.7200000000000006</v>
      </c>
      <c r="N306" s="34">
        <v>10.866666666666699</v>
      </c>
      <c r="O306" s="34">
        <v>6.6666666666666696</v>
      </c>
      <c r="P306" s="34">
        <v>2.93333333333333</v>
      </c>
      <c r="Q306" s="34">
        <v>0.22222222222222202</v>
      </c>
      <c r="R306" s="34">
        <v>0.60202020202020201</v>
      </c>
      <c r="S306" s="34">
        <v>0</v>
      </c>
      <c r="T306" s="34">
        <v>0.50883838380000002</v>
      </c>
    </row>
    <row r="307" spans="1:20" x14ac:dyDescent="0.2">
      <c r="A307" s="12">
        <v>304</v>
      </c>
      <c r="B307" s="47" t="s">
        <v>309</v>
      </c>
      <c r="C307" s="65" t="s">
        <v>841</v>
      </c>
      <c r="D307" s="48" t="s">
        <v>179</v>
      </c>
      <c r="E307" s="38">
        <v>48266536</v>
      </c>
      <c r="F307" s="39">
        <v>48266605</v>
      </c>
      <c r="G307" s="49" t="str">
        <f>HYPERLINK("http://genome.ucsc.edu/cgi-bin/hgTracks?position=chr6:48266386-48266755", "Go2UCSC")</f>
        <v>Go2UCSC</v>
      </c>
      <c r="H307" s="50">
        <v>5.3466666666666649</v>
      </c>
      <c r="I307" s="50">
        <v>2.23</v>
      </c>
      <c r="J307" s="51">
        <v>7.5766666666666644</v>
      </c>
      <c r="K307" s="52">
        <v>0.70567531896172453</v>
      </c>
      <c r="L307" s="51">
        <v>2.047747747747747</v>
      </c>
      <c r="M307" s="34">
        <v>6.28</v>
      </c>
      <c r="N307" s="34">
        <v>3.37333333333333</v>
      </c>
      <c r="O307" s="34">
        <v>7.68</v>
      </c>
      <c r="P307" s="34">
        <v>4.0533333333333301</v>
      </c>
      <c r="Q307" s="34">
        <v>0.44</v>
      </c>
      <c r="R307" s="34">
        <v>2.88</v>
      </c>
      <c r="S307" s="34">
        <v>3.6666666667000003</v>
      </c>
      <c r="T307" s="34">
        <v>1.9333333333</v>
      </c>
    </row>
    <row r="308" spans="1:20" x14ac:dyDescent="0.2">
      <c r="A308" s="12">
        <v>305</v>
      </c>
      <c r="B308" s="47" t="s">
        <v>433</v>
      </c>
      <c r="C308" s="65" t="s">
        <v>842</v>
      </c>
      <c r="D308" s="48" t="s">
        <v>179</v>
      </c>
      <c r="E308" s="38">
        <v>48147025</v>
      </c>
      <c r="F308" s="39">
        <v>48147096</v>
      </c>
      <c r="G308" s="49" t="str">
        <f>HYPERLINK("http://genome.ucsc.edu/cgi-bin/hgTracks?position=chr6:48146875-48147246", "Go2UCSC")</f>
        <v>Go2UCSC</v>
      </c>
      <c r="H308" s="50">
        <v>7.39</v>
      </c>
      <c r="I308" s="50">
        <v>0.13257575756893952</v>
      </c>
      <c r="J308" s="51">
        <v>7.5225757575689389</v>
      </c>
      <c r="K308" s="52">
        <v>0.98237628149699308</v>
      </c>
      <c r="L308" s="51">
        <v>2.0221977842927252</v>
      </c>
      <c r="M308" s="34">
        <v>8.68</v>
      </c>
      <c r="N308" s="34">
        <v>5.8533333333333299</v>
      </c>
      <c r="O308" s="34">
        <v>7.8666666666666698</v>
      </c>
      <c r="P308" s="34">
        <v>7.16</v>
      </c>
      <c r="Q308" s="34">
        <v>0</v>
      </c>
      <c r="R308" s="34">
        <v>0.25757575757575801</v>
      </c>
      <c r="S308" s="34">
        <v>0</v>
      </c>
      <c r="T308" s="34">
        <v>0.27272727270000002</v>
      </c>
    </row>
    <row r="309" spans="1:20" ht="25.5" x14ac:dyDescent="0.2">
      <c r="A309" s="12">
        <v>306</v>
      </c>
      <c r="B309" s="37" t="s">
        <v>137</v>
      </c>
      <c r="C309" s="60" t="s">
        <v>843</v>
      </c>
      <c r="D309" s="37" t="s">
        <v>54</v>
      </c>
      <c r="E309" s="38">
        <v>12083035</v>
      </c>
      <c r="F309" s="39">
        <v>12083107</v>
      </c>
      <c r="G309" s="40" t="str">
        <f>HYPERLINK("http://genome.ucsc.edu/cgi-bin/hgTracks?position=chr19:12082885-12083257", "Go2UCSC")</f>
        <v>Go2UCSC</v>
      </c>
      <c r="H309" s="34">
        <v>7.51</v>
      </c>
      <c r="I309" s="34">
        <v>0</v>
      </c>
      <c r="J309" s="35">
        <v>7.51</v>
      </c>
      <c r="K309" s="36">
        <v>1</v>
      </c>
      <c r="L309" s="35">
        <v>2.0134048257372652</v>
      </c>
      <c r="M309" s="34">
        <v>5.5466666666666704</v>
      </c>
      <c r="N309" s="34">
        <v>4.0533333333333301</v>
      </c>
      <c r="O309" s="34">
        <v>8.92</v>
      </c>
      <c r="P309" s="34">
        <v>11.52</v>
      </c>
      <c r="Q309" s="34">
        <v>0</v>
      </c>
      <c r="R309" s="34">
        <v>0</v>
      </c>
      <c r="S309" s="34">
        <v>0</v>
      </c>
      <c r="T309" s="34">
        <v>0</v>
      </c>
    </row>
    <row r="310" spans="1:20" x14ac:dyDescent="0.2">
      <c r="A310" s="12">
        <v>307</v>
      </c>
      <c r="B310" s="47" t="s">
        <v>440</v>
      </c>
      <c r="C310" s="65" t="s">
        <v>844</v>
      </c>
      <c r="D310" s="48" t="s">
        <v>179</v>
      </c>
      <c r="E310" s="38">
        <v>48243006</v>
      </c>
      <c r="F310" s="39">
        <v>48243077</v>
      </c>
      <c r="G310" s="49" t="str">
        <f>HYPERLINK("http://genome.ucsc.edu/cgi-bin/hgTracks?position=chr6:48242856-48243227", "Go2UCSC")</f>
        <v>Go2UCSC</v>
      </c>
      <c r="H310" s="50">
        <v>7.0633333333333423</v>
      </c>
      <c r="I310" s="50">
        <v>0.375</v>
      </c>
      <c r="J310" s="51">
        <v>7.4383333333333423</v>
      </c>
      <c r="K310" s="52">
        <v>0.94958548061841819</v>
      </c>
      <c r="L310" s="51">
        <v>1.9995519713261674</v>
      </c>
      <c r="M310" s="34">
        <v>5.16</v>
      </c>
      <c r="N310" s="34">
        <v>3.3466666666666702</v>
      </c>
      <c r="O310" s="34">
        <v>11.3866666666667</v>
      </c>
      <c r="P310" s="34">
        <v>8.36</v>
      </c>
      <c r="Q310" s="34">
        <v>0</v>
      </c>
      <c r="R310" s="34">
        <v>0</v>
      </c>
      <c r="S310" s="34">
        <v>1</v>
      </c>
      <c r="T310" s="34">
        <v>0.5</v>
      </c>
    </row>
    <row r="311" spans="1:20" x14ac:dyDescent="0.2">
      <c r="A311" s="12">
        <v>308</v>
      </c>
      <c r="B311" s="47" t="s">
        <v>518</v>
      </c>
      <c r="C311" s="65" t="s">
        <v>845</v>
      </c>
      <c r="D311" s="48" t="s">
        <v>257</v>
      </c>
      <c r="E311" s="38">
        <v>14762877</v>
      </c>
      <c r="F311" s="39">
        <v>14762949</v>
      </c>
      <c r="G311" s="49" t="str">
        <f>HYPERLINK("http://genome.ucsc.edu/cgi-bin/hgTracks?position=chr9:14762727-14763099", "Go2UCSC")</f>
        <v>Go2UCSC</v>
      </c>
      <c r="H311" s="50">
        <v>7.4033333333333342</v>
      </c>
      <c r="I311" s="50">
        <v>0</v>
      </c>
      <c r="J311" s="51">
        <v>7.4033333333333342</v>
      </c>
      <c r="K311" s="52">
        <v>1</v>
      </c>
      <c r="L311" s="51">
        <v>1.9848078641644327</v>
      </c>
      <c r="M311" s="34">
        <v>6.4666666666666703</v>
      </c>
      <c r="N311" s="34">
        <v>6.3466666666666702</v>
      </c>
      <c r="O311" s="34">
        <v>6.4</v>
      </c>
      <c r="P311" s="34">
        <v>10.4</v>
      </c>
      <c r="Q311" s="34">
        <v>0</v>
      </c>
      <c r="R311" s="34">
        <v>0</v>
      </c>
      <c r="S311" s="34">
        <v>0</v>
      </c>
      <c r="T311" s="34">
        <v>0</v>
      </c>
    </row>
    <row r="312" spans="1:20" x14ac:dyDescent="0.2">
      <c r="A312" s="12">
        <v>309</v>
      </c>
      <c r="B312" s="47" t="s">
        <v>456</v>
      </c>
      <c r="C312" s="65" t="s">
        <v>846</v>
      </c>
      <c r="D312" s="48" t="s">
        <v>179</v>
      </c>
      <c r="E312" s="38">
        <v>48114100</v>
      </c>
      <c r="F312" s="39">
        <v>48114171</v>
      </c>
      <c r="G312" s="49" t="str">
        <f>HYPERLINK("http://genome.ucsc.edu/cgi-bin/hgTracks?position=chr6:48113950-48114321", "Go2UCSC")</f>
        <v>Go2UCSC</v>
      </c>
      <c r="H312" s="50">
        <v>5.0666666666666673</v>
      </c>
      <c r="I312" s="50">
        <v>2.1811868686856073</v>
      </c>
      <c r="J312" s="51">
        <v>7.2478535353522746</v>
      </c>
      <c r="K312" s="52">
        <v>0.69905754054678304</v>
      </c>
      <c r="L312" s="51">
        <v>1.9483477245570631</v>
      </c>
      <c r="M312" s="34">
        <v>4.8266666666666698</v>
      </c>
      <c r="N312" s="34">
        <v>3.6</v>
      </c>
      <c r="O312" s="34">
        <v>4.1466666666666701</v>
      </c>
      <c r="P312" s="34">
        <v>7.6933333333333298</v>
      </c>
      <c r="Q312" s="34">
        <v>1.93055555555556</v>
      </c>
      <c r="R312" s="34">
        <v>2.3686868686868698</v>
      </c>
      <c r="S312" s="34">
        <v>0.58333333330000003</v>
      </c>
      <c r="T312" s="34">
        <v>3.8421717172000003</v>
      </c>
    </row>
    <row r="313" spans="1:20" ht="25.5" x14ac:dyDescent="0.2">
      <c r="A313" s="12">
        <v>310</v>
      </c>
      <c r="B313" s="47" t="s">
        <v>70</v>
      </c>
      <c r="C313" s="65" t="s">
        <v>847</v>
      </c>
      <c r="D313" s="48" t="s">
        <v>414</v>
      </c>
      <c r="E313" s="38">
        <v>22121969</v>
      </c>
      <c r="F313" s="39">
        <v>22122042</v>
      </c>
      <c r="G313" s="49" t="str">
        <f>HYPERLINK("http://genome.ucsc.edu/cgi-bin/hgTracks?position=chr13:22121819-22122192", "Go2UCSC")</f>
        <v>Go2UCSC</v>
      </c>
      <c r="H313" s="50">
        <v>7.2866666666666751</v>
      </c>
      <c r="I313" s="50">
        <v>0</v>
      </c>
      <c r="J313" s="51">
        <v>7.2866666666666751</v>
      </c>
      <c r="K313" s="52">
        <v>1</v>
      </c>
      <c r="L313" s="51">
        <v>1.9483065953654213</v>
      </c>
      <c r="M313" s="34">
        <v>2.2133333333333298</v>
      </c>
      <c r="N313" s="34">
        <v>4.0266666666666699</v>
      </c>
      <c r="O313" s="34">
        <v>10.106666666666699</v>
      </c>
      <c r="P313" s="34">
        <v>12.8</v>
      </c>
      <c r="Q313" s="34">
        <v>0</v>
      </c>
      <c r="R313" s="34">
        <v>0</v>
      </c>
      <c r="S313" s="34">
        <v>0</v>
      </c>
      <c r="T313" s="34">
        <v>0</v>
      </c>
    </row>
    <row r="314" spans="1:20" x14ac:dyDescent="0.2">
      <c r="A314" s="12">
        <v>311</v>
      </c>
      <c r="B314" s="47" t="s">
        <v>200</v>
      </c>
      <c r="C314" s="65" t="s">
        <v>848</v>
      </c>
      <c r="D314" s="48" t="s">
        <v>252</v>
      </c>
      <c r="E314" s="38">
        <v>3149493</v>
      </c>
      <c r="F314" s="39">
        <v>3149565</v>
      </c>
      <c r="G314" s="49" t="str">
        <f>HYPERLINK("http://genome.ucsc.edu/cgi-bin/hgTracks?position=chr3:3149343-3149715", "Go2UCSC")</f>
        <v>Go2UCSC</v>
      </c>
      <c r="H314" s="50">
        <v>7.2100000000000097</v>
      </c>
      <c r="I314" s="50">
        <v>0</v>
      </c>
      <c r="J314" s="51">
        <v>7.2100000000000097</v>
      </c>
      <c r="K314" s="52">
        <v>1</v>
      </c>
      <c r="L314" s="51">
        <v>1.9329758713136758</v>
      </c>
      <c r="M314" s="34">
        <v>5.0266666666666699</v>
      </c>
      <c r="N314" s="34">
        <v>5.92</v>
      </c>
      <c r="O314" s="34">
        <v>2.8666666666666698</v>
      </c>
      <c r="P314" s="34">
        <v>15.026666666666699</v>
      </c>
      <c r="Q314" s="34">
        <v>0</v>
      </c>
      <c r="R314" s="34">
        <v>0</v>
      </c>
      <c r="S314" s="34">
        <v>0</v>
      </c>
      <c r="T314" s="34">
        <v>0</v>
      </c>
    </row>
    <row r="315" spans="1:20" x14ac:dyDescent="0.2">
      <c r="A315" s="12">
        <v>312</v>
      </c>
      <c r="B315" s="47" t="s">
        <v>159</v>
      </c>
      <c r="C315" s="65" t="s">
        <v>849</v>
      </c>
      <c r="D315" s="48" t="s">
        <v>30</v>
      </c>
      <c r="E315" s="38">
        <v>175320460</v>
      </c>
      <c r="F315" s="39">
        <v>175320533</v>
      </c>
      <c r="G315" s="49" t="str">
        <f>HYPERLINK("http://genome.ucsc.edu/cgi-bin/hgTracks?position=chr1:175320310-175320683", "Go2UCSC")</f>
        <v>Go2UCSC</v>
      </c>
      <c r="H315" s="50">
        <v>7.2266666666666728</v>
      </c>
      <c r="I315" s="50">
        <v>0</v>
      </c>
      <c r="J315" s="51">
        <v>7.2266666666666728</v>
      </c>
      <c r="K315" s="52">
        <v>1</v>
      </c>
      <c r="L315" s="51">
        <v>1.9322638146167574</v>
      </c>
      <c r="M315" s="34">
        <v>10.626666666666701</v>
      </c>
      <c r="N315" s="34">
        <v>3.8533333333333299</v>
      </c>
      <c r="O315" s="34">
        <v>5.9733333333333301</v>
      </c>
      <c r="P315" s="34">
        <v>8.4533333333333296</v>
      </c>
      <c r="Q315" s="34">
        <v>0</v>
      </c>
      <c r="R315" s="34">
        <v>0</v>
      </c>
      <c r="S315" s="34">
        <v>0</v>
      </c>
      <c r="T315" s="34">
        <v>0</v>
      </c>
    </row>
    <row r="316" spans="1:20" ht="25.5" x14ac:dyDescent="0.2">
      <c r="A316" s="12">
        <v>313</v>
      </c>
      <c r="B316" s="47" t="s">
        <v>355</v>
      </c>
      <c r="C316" s="65" t="s">
        <v>850</v>
      </c>
      <c r="D316" s="48" t="s">
        <v>423</v>
      </c>
      <c r="E316" s="38">
        <v>77846390</v>
      </c>
      <c r="F316" s="39">
        <v>77846462</v>
      </c>
      <c r="G316" s="49" t="str">
        <f>HYPERLINK("http://genome.ucsc.edu/cgi-bin/hgTracks?position=chr10:77846240-77846612", "Go2UCSC")</f>
        <v>Go2UCSC</v>
      </c>
      <c r="H316" s="50">
        <v>7.1333333333333426</v>
      </c>
      <c r="I316" s="50">
        <v>0</v>
      </c>
      <c r="J316" s="51">
        <v>7.1333333333333426</v>
      </c>
      <c r="K316" s="52">
        <v>1</v>
      </c>
      <c r="L316" s="51">
        <v>1.9124218051832018</v>
      </c>
      <c r="M316" s="34">
        <v>4.5066666666666704</v>
      </c>
      <c r="N316" s="34">
        <v>10.0666666666667</v>
      </c>
      <c r="O316" s="34">
        <v>5.5333333333333297</v>
      </c>
      <c r="P316" s="34">
        <v>8.4266666666666694</v>
      </c>
      <c r="Q316" s="34">
        <v>0</v>
      </c>
      <c r="R316" s="34">
        <v>0</v>
      </c>
      <c r="S316" s="34">
        <v>0</v>
      </c>
      <c r="T316" s="34">
        <v>0</v>
      </c>
    </row>
    <row r="317" spans="1:20" x14ac:dyDescent="0.2">
      <c r="A317" s="12">
        <v>314</v>
      </c>
      <c r="B317" s="47" t="s">
        <v>279</v>
      </c>
      <c r="C317" s="65" t="s">
        <v>851</v>
      </c>
      <c r="D317" s="48" t="s">
        <v>179</v>
      </c>
      <c r="E317" s="38">
        <v>48174328</v>
      </c>
      <c r="F317" s="39">
        <v>48174399</v>
      </c>
      <c r="G317" s="49" t="str">
        <f>HYPERLINK("http://genome.ucsc.edu/cgi-bin/hgTracks?position=chr6:48174178-48174549", "Go2UCSC")</f>
        <v>Go2UCSC</v>
      </c>
      <c r="H317" s="50">
        <v>7.09</v>
      </c>
      <c r="I317" s="50">
        <v>0</v>
      </c>
      <c r="J317" s="51">
        <v>7.09</v>
      </c>
      <c r="K317" s="52">
        <v>1</v>
      </c>
      <c r="L317" s="51">
        <v>1.9059139784946237</v>
      </c>
      <c r="M317" s="34">
        <v>1.5333333333333301</v>
      </c>
      <c r="N317" s="34">
        <v>6.6266666666666705</v>
      </c>
      <c r="O317" s="34">
        <v>9.76</v>
      </c>
      <c r="P317" s="34">
        <v>10.44</v>
      </c>
      <c r="Q317" s="34">
        <v>0</v>
      </c>
      <c r="R317" s="34">
        <v>0</v>
      </c>
      <c r="S317" s="34">
        <v>0</v>
      </c>
      <c r="T317" s="34">
        <v>0</v>
      </c>
    </row>
    <row r="318" spans="1:20" x14ac:dyDescent="0.2">
      <c r="A318" s="12">
        <v>315</v>
      </c>
      <c r="B318" s="47" t="s">
        <v>314</v>
      </c>
      <c r="C318" s="65" t="s">
        <v>852</v>
      </c>
      <c r="D318" s="48" t="s">
        <v>179</v>
      </c>
      <c r="E318" s="38">
        <v>48290612</v>
      </c>
      <c r="F318" s="39">
        <v>48290683</v>
      </c>
      <c r="G318" s="49" t="str">
        <f>HYPERLINK("http://genome.ucsc.edu/cgi-bin/hgTracks?position=chr6:48290462-48290833", "Go2UCSC")</f>
        <v>Go2UCSC</v>
      </c>
      <c r="H318" s="50">
        <v>4.6266666666666669</v>
      </c>
      <c r="I318" s="50">
        <v>2.2133333333333325</v>
      </c>
      <c r="J318" s="51">
        <v>6.84</v>
      </c>
      <c r="K318" s="52">
        <v>0.6764132553606238</v>
      </c>
      <c r="L318" s="51">
        <v>1.8387096774193548</v>
      </c>
      <c r="M318" s="34">
        <v>3.9466666666666699</v>
      </c>
      <c r="N318" s="34">
        <v>5.96</v>
      </c>
      <c r="O318" s="34">
        <v>1.0133333333333301</v>
      </c>
      <c r="P318" s="34">
        <v>7.5866666666666696</v>
      </c>
      <c r="Q318" s="34">
        <v>2.8333333333333299</v>
      </c>
      <c r="R318" s="34">
        <v>1.1400000000000001</v>
      </c>
      <c r="S318" s="34">
        <v>2.8466666667</v>
      </c>
      <c r="T318" s="34">
        <v>2.0333333332999999</v>
      </c>
    </row>
    <row r="319" spans="1:20" ht="25.5" x14ac:dyDescent="0.2">
      <c r="A319" s="12">
        <v>316</v>
      </c>
      <c r="B319" s="47" t="s">
        <v>520</v>
      </c>
      <c r="C319" s="65" t="s">
        <v>853</v>
      </c>
      <c r="D319" s="48" t="s">
        <v>92</v>
      </c>
      <c r="E319" s="38">
        <v>16854357</v>
      </c>
      <c r="F319" s="39">
        <v>16854429</v>
      </c>
      <c r="G319" s="49" t="str">
        <f>HYPERLINK("http://genome.ucsc.edu/cgi-bin/hgTracks?position=chr16:16854207-16854579", "Go2UCSC")</f>
        <v>Go2UCSC</v>
      </c>
      <c r="H319" s="50">
        <v>6.3833333333333329</v>
      </c>
      <c r="I319" s="50">
        <v>0</v>
      </c>
      <c r="J319" s="51">
        <v>6.3833333333333329</v>
      </c>
      <c r="K319" s="52">
        <v>1</v>
      </c>
      <c r="L319" s="51">
        <v>1.7113494191242178</v>
      </c>
      <c r="M319" s="34">
        <v>5.8133333333333299</v>
      </c>
      <c r="N319" s="34">
        <v>4.2</v>
      </c>
      <c r="O319" s="34">
        <v>5.28</v>
      </c>
      <c r="P319" s="34">
        <v>10.24</v>
      </c>
      <c r="Q319" s="34">
        <v>0</v>
      </c>
      <c r="R319" s="34">
        <v>0</v>
      </c>
      <c r="S319" s="34">
        <v>0</v>
      </c>
      <c r="T319" s="34">
        <v>0</v>
      </c>
    </row>
    <row r="320" spans="1:20" ht="25.5" x14ac:dyDescent="0.2">
      <c r="A320" s="12">
        <v>317</v>
      </c>
      <c r="B320" s="47" t="s">
        <v>533</v>
      </c>
      <c r="C320" s="65" t="s">
        <v>854</v>
      </c>
      <c r="D320" s="48" t="s">
        <v>424</v>
      </c>
      <c r="E320" s="38">
        <v>69227053</v>
      </c>
      <c r="F320" s="39">
        <v>69227124</v>
      </c>
      <c r="G320" s="49" t="str">
        <f>HYPERLINK("http://genome.ucsc.edu/cgi-bin/hgTracks?position=chr15:69226903-69227274", "Go2UCSC")</f>
        <v>Go2UCSC</v>
      </c>
      <c r="H320" s="50">
        <v>5.4366666666666648</v>
      </c>
      <c r="I320" s="50">
        <v>0.90076486015652757</v>
      </c>
      <c r="J320" s="51">
        <v>6.3374315268231927</v>
      </c>
      <c r="K320" s="52">
        <v>0.85786594200757216</v>
      </c>
      <c r="L320" s="51">
        <v>1.7036106254901056</v>
      </c>
      <c r="M320" s="34">
        <v>6.6933333333333298</v>
      </c>
      <c r="N320" s="34">
        <v>1.9066666666666698</v>
      </c>
      <c r="O320" s="34">
        <v>7.0933333333333302</v>
      </c>
      <c r="P320" s="34">
        <v>6.0533333333333301</v>
      </c>
      <c r="Q320" s="34">
        <v>0.99965034965035005</v>
      </c>
      <c r="R320" s="34">
        <v>1.1075757575757601</v>
      </c>
      <c r="S320" s="34">
        <v>0.22916666670000002</v>
      </c>
      <c r="T320" s="34">
        <v>1.2666666666999999</v>
      </c>
    </row>
    <row r="321" spans="1:20" ht="25.5" x14ac:dyDescent="0.2">
      <c r="A321" s="12">
        <v>318</v>
      </c>
      <c r="B321" s="47" t="s">
        <v>286</v>
      </c>
      <c r="C321" s="65" t="s">
        <v>855</v>
      </c>
      <c r="D321" s="48" t="s">
        <v>423</v>
      </c>
      <c r="E321" s="38">
        <v>61853872</v>
      </c>
      <c r="F321" s="39">
        <v>61853944</v>
      </c>
      <c r="G321" s="49" t="str">
        <f>HYPERLINK("http://genome.ucsc.edu/cgi-bin/hgTracks?position=chr10:61853722-61854094", "Go2UCSC")</f>
        <v>Go2UCSC</v>
      </c>
      <c r="H321" s="50">
        <v>6.2666666666666675</v>
      </c>
      <c r="I321" s="50">
        <v>0</v>
      </c>
      <c r="J321" s="51">
        <v>6.2666666666666675</v>
      </c>
      <c r="K321" s="52">
        <v>1</v>
      </c>
      <c r="L321" s="51">
        <v>1.6800714924039324</v>
      </c>
      <c r="M321" s="34">
        <v>7.0933333333333302</v>
      </c>
      <c r="N321" s="34">
        <v>4.28</v>
      </c>
      <c r="O321" s="34">
        <v>8.3066666666666702</v>
      </c>
      <c r="P321" s="34">
        <v>5.3866666666666703</v>
      </c>
      <c r="Q321" s="34">
        <v>0</v>
      </c>
      <c r="R321" s="34">
        <v>0</v>
      </c>
      <c r="S321" s="34">
        <v>0</v>
      </c>
      <c r="T321" s="34">
        <v>0</v>
      </c>
    </row>
    <row r="322" spans="1:20" ht="25.5" x14ac:dyDescent="0.2">
      <c r="A322" s="12">
        <v>319</v>
      </c>
      <c r="B322" s="47" t="s">
        <v>519</v>
      </c>
      <c r="C322" s="65" t="s">
        <v>856</v>
      </c>
      <c r="D322" s="48" t="s">
        <v>424</v>
      </c>
      <c r="E322" s="38">
        <v>16205705</v>
      </c>
      <c r="F322" s="39">
        <v>16205778</v>
      </c>
      <c r="G322" s="49" t="str">
        <f>HYPERLINK("http://genome.ucsc.edu/cgi-bin/hgTracks?position=chr15:16205555-16205928", "Go2UCSC")</f>
        <v>Go2UCSC</v>
      </c>
      <c r="H322" s="50">
        <v>6.1900000000000022</v>
      </c>
      <c r="I322" s="50">
        <v>0</v>
      </c>
      <c r="J322" s="51">
        <v>6.1900000000000022</v>
      </c>
      <c r="K322" s="52">
        <v>1</v>
      </c>
      <c r="L322" s="51">
        <v>1.6550802139037439</v>
      </c>
      <c r="M322" s="34">
        <v>4.3066666666666702</v>
      </c>
      <c r="N322" s="34">
        <v>3.1466666666666701</v>
      </c>
      <c r="O322" s="34">
        <v>8.1066666666666691</v>
      </c>
      <c r="P322" s="34">
        <v>9.1999999999999993</v>
      </c>
      <c r="Q322" s="34">
        <v>0</v>
      </c>
      <c r="R322" s="34">
        <v>0</v>
      </c>
      <c r="S322" s="34">
        <v>0</v>
      </c>
      <c r="T322" s="34">
        <v>0</v>
      </c>
    </row>
    <row r="323" spans="1:20" x14ac:dyDescent="0.2">
      <c r="A323" s="12">
        <v>320</v>
      </c>
      <c r="B323" s="47" t="s">
        <v>232</v>
      </c>
      <c r="C323" s="65" t="s">
        <v>857</v>
      </c>
      <c r="D323" s="48" t="s">
        <v>30</v>
      </c>
      <c r="E323" s="38">
        <v>183986139</v>
      </c>
      <c r="F323" s="39">
        <v>183986220</v>
      </c>
      <c r="G323" s="49" t="str">
        <f>HYPERLINK("http://genome.ucsc.edu/cgi-bin/hgTracks?position=chr1:183985989-183986370", "Go2UCSC")</f>
        <v>Go2UCSC</v>
      </c>
      <c r="H323" s="50">
        <v>6.1266666666666696</v>
      </c>
      <c r="I323" s="50">
        <v>0.12421593816576074</v>
      </c>
      <c r="J323" s="51">
        <v>6.2508826048324302</v>
      </c>
      <c r="K323" s="52">
        <v>0.98012825611702714</v>
      </c>
      <c r="L323" s="51">
        <v>1.6363567028357149</v>
      </c>
      <c r="M323" s="34">
        <v>7.10666666666667</v>
      </c>
      <c r="N323" s="34">
        <v>5.06666666666667</v>
      </c>
      <c r="O323" s="34">
        <v>5.06666666666667</v>
      </c>
      <c r="P323" s="34">
        <v>7.2666666666666702</v>
      </c>
      <c r="Q323" s="34">
        <v>0.17614525056582903</v>
      </c>
      <c r="R323" s="34">
        <v>8.4439506897213898E-2</v>
      </c>
      <c r="S323" s="34">
        <v>0.11191188590000001</v>
      </c>
      <c r="T323" s="34">
        <v>0.1243671093</v>
      </c>
    </row>
    <row r="324" spans="1:20" x14ac:dyDescent="0.2">
      <c r="A324" s="12">
        <v>321</v>
      </c>
      <c r="B324" s="47" t="s">
        <v>34</v>
      </c>
      <c r="C324" s="65" t="s">
        <v>858</v>
      </c>
      <c r="D324" s="48" t="s">
        <v>179</v>
      </c>
      <c r="E324" s="38">
        <v>48247432</v>
      </c>
      <c r="F324" s="39">
        <v>48247503</v>
      </c>
      <c r="G324" s="49" t="str">
        <f>HYPERLINK("http://genome.ucsc.edu/cgi-bin/hgTracks?position=chr6:48247282-48247653", "Go2UCSC")</f>
        <v>Go2UCSC</v>
      </c>
      <c r="H324" s="50">
        <v>4.6966666666666654</v>
      </c>
      <c r="I324" s="50">
        <v>1.3398809523999999</v>
      </c>
      <c r="J324" s="51">
        <v>6.0365476190666651</v>
      </c>
      <c r="K324" s="52">
        <v>0.77803853511104015</v>
      </c>
      <c r="L324" s="51">
        <v>1.6227278545878132</v>
      </c>
      <c r="M324" s="34">
        <v>3.6933333333333298</v>
      </c>
      <c r="N324" s="34">
        <v>2.96</v>
      </c>
      <c r="O324" s="34">
        <v>4.0533333333333301</v>
      </c>
      <c r="P324" s="34">
        <v>8.08</v>
      </c>
      <c r="Q324" s="34">
        <v>1.8</v>
      </c>
      <c r="R324" s="34">
        <v>0.25</v>
      </c>
      <c r="S324" s="34">
        <v>1.0428571429</v>
      </c>
      <c r="T324" s="34">
        <v>2.2666666666999999</v>
      </c>
    </row>
    <row r="325" spans="1:20" x14ac:dyDescent="0.2">
      <c r="A325" s="12">
        <v>322</v>
      </c>
      <c r="B325" s="47" t="s">
        <v>74</v>
      </c>
      <c r="C325" s="65" t="s">
        <v>859</v>
      </c>
      <c r="D325" s="48" t="s">
        <v>255</v>
      </c>
      <c r="E325" s="38">
        <v>113155146</v>
      </c>
      <c r="F325" s="39">
        <v>113155216</v>
      </c>
      <c r="G325" s="49" t="str">
        <f>HYPERLINK("http://genome.ucsc.edu/cgi-bin/hgTracks?position=chr8:113154996-113155366", "Go2UCSC")</f>
        <v>Go2UCSC</v>
      </c>
      <c r="H325" s="50">
        <v>4.7633333333333328</v>
      </c>
      <c r="I325" s="50">
        <v>1.0833333333333335</v>
      </c>
      <c r="J325" s="51">
        <v>5.8466666666666658</v>
      </c>
      <c r="K325" s="52">
        <v>0.81470923603192702</v>
      </c>
      <c r="L325" s="51">
        <v>1.5759209344115004</v>
      </c>
      <c r="M325" s="34">
        <v>6.3733333333333304</v>
      </c>
      <c r="N325" s="34">
        <v>2.0266666666666699</v>
      </c>
      <c r="O325" s="34">
        <v>7.6133333333333297</v>
      </c>
      <c r="P325" s="34">
        <v>3.04</v>
      </c>
      <c r="Q325" s="34">
        <v>0.83333333333333404</v>
      </c>
      <c r="R325" s="34">
        <v>1.5</v>
      </c>
      <c r="S325" s="34">
        <v>1.3333333333000001</v>
      </c>
      <c r="T325" s="34">
        <v>0.66666666670000008</v>
      </c>
    </row>
    <row r="326" spans="1:20" x14ac:dyDescent="0.2">
      <c r="A326" s="12">
        <v>323</v>
      </c>
      <c r="B326" s="47" t="s">
        <v>233</v>
      </c>
      <c r="C326" s="65" t="s">
        <v>860</v>
      </c>
      <c r="D326" s="48" t="s">
        <v>179</v>
      </c>
      <c r="E326" s="38">
        <v>48094927</v>
      </c>
      <c r="F326" s="39">
        <v>48094998</v>
      </c>
      <c r="G326" s="49" t="str">
        <f>HYPERLINK("http://genome.ucsc.edu/cgi-bin/hgTracks?position=chr6:48094777-48095148", "Go2UCSC")</f>
        <v>Go2UCSC</v>
      </c>
      <c r="H326" s="50">
        <v>2.0066666666666682</v>
      </c>
      <c r="I326" s="50">
        <v>3.824880952375</v>
      </c>
      <c r="J326" s="51">
        <v>5.8315476190416682</v>
      </c>
      <c r="K326" s="52">
        <v>0.34410533836923984</v>
      </c>
      <c r="L326" s="51">
        <v>1.567620327699373</v>
      </c>
      <c r="M326" s="34">
        <v>0.48</v>
      </c>
      <c r="N326" s="34">
        <v>1.7066666666666701</v>
      </c>
      <c r="O326" s="34">
        <v>0.69333333333333302</v>
      </c>
      <c r="P326" s="34">
        <v>5.1466666666666701</v>
      </c>
      <c r="Q326" s="34">
        <v>4.84</v>
      </c>
      <c r="R326" s="34">
        <v>2.77</v>
      </c>
      <c r="S326" s="34">
        <v>5.1761904762000004</v>
      </c>
      <c r="T326" s="34">
        <v>2.5133333332999999</v>
      </c>
    </row>
    <row r="327" spans="1:20" x14ac:dyDescent="0.2">
      <c r="A327" s="12">
        <v>324</v>
      </c>
      <c r="B327" s="47" t="s">
        <v>140</v>
      </c>
      <c r="C327" s="65" t="s">
        <v>861</v>
      </c>
      <c r="D327" s="48" t="s">
        <v>252</v>
      </c>
      <c r="E327" s="38">
        <v>123602105</v>
      </c>
      <c r="F327" s="39">
        <v>123602176</v>
      </c>
      <c r="G327" s="49" t="str">
        <f>HYPERLINK("http://genome.ucsc.edu/cgi-bin/hgTracks?position=chr3:123601955-123602326", "Go2UCSC")</f>
        <v>Go2UCSC</v>
      </c>
      <c r="H327" s="50">
        <v>5.7333333333333325</v>
      </c>
      <c r="I327" s="50">
        <v>0</v>
      </c>
      <c r="J327" s="51">
        <v>5.7333333333333325</v>
      </c>
      <c r="K327" s="52">
        <v>1</v>
      </c>
      <c r="L327" s="51">
        <v>1.5412186379928314</v>
      </c>
      <c r="M327" s="34">
        <v>4.7733333333333299</v>
      </c>
      <c r="N327" s="34">
        <v>8.0133333333333301</v>
      </c>
      <c r="O327" s="34">
        <v>3.7866666666666697</v>
      </c>
      <c r="P327" s="34">
        <v>6.36</v>
      </c>
      <c r="Q327" s="34">
        <v>0</v>
      </c>
      <c r="R327" s="34">
        <v>0</v>
      </c>
      <c r="S327" s="34">
        <v>0</v>
      </c>
      <c r="T327" s="34">
        <v>0</v>
      </c>
    </row>
    <row r="328" spans="1:20" x14ac:dyDescent="0.2">
      <c r="A328" s="12">
        <v>325</v>
      </c>
      <c r="B328" s="47" t="s">
        <v>362</v>
      </c>
      <c r="C328" s="65" t="s">
        <v>862</v>
      </c>
      <c r="D328" s="48" t="s">
        <v>257</v>
      </c>
      <c r="E328" s="38">
        <v>104302450</v>
      </c>
      <c r="F328" s="39">
        <v>104302521</v>
      </c>
      <c r="G328" s="49" t="str">
        <f>HYPERLINK("http://genome.ucsc.edu/cgi-bin/hgTracks?position=chr9:104302300-104302671", "Go2UCSC")</f>
        <v>Go2UCSC</v>
      </c>
      <c r="H328" s="50">
        <v>5.7066666666666679</v>
      </c>
      <c r="I328" s="50">
        <v>0</v>
      </c>
      <c r="J328" s="51">
        <v>5.7066666666666679</v>
      </c>
      <c r="K328" s="52">
        <v>1</v>
      </c>
      <c r="L328" s="51">
        <v>1.5340501792114698</v>
      </c>
      <c r="M328" s="34">
        <v>8.5733333333333306</v>
      </c>
      <c r="N328" s="34">
        <v>5.52</v>
      </c>
      <c r="O328" s="34">
        <v>5.5066666666666704</v>
      </c>
      <c r="P328" s="34">
        <v>3.2266666666666701</v>
      </c>
      <c r="Q328" s="34">
        <v>0</v>
      </c>
      <c r="R328" s="34">
        <v>0</v>
      </c>
      <c r="S328" s="34">
        <v>0</v>
      </c>
      <c r="T328" s="34">
        <v>0</v>
      </c>
    </row>
    <row r="329" spans="1:20" x14ac:dyDescent="0.2">
      <c r="A329" s="12">
        <v>326</v>
      </c>
      <c r="B329" s="47" t="s">
        <v>222</v>
      </c>
      <c r="C329" s="65" t="s">
        <v>863</v>
      </c>
      <c r="D329" s="48" t="s">
        <v>508</v>
      </c>
      <c r="E329" s="38">
        <v>108490826</v>
      </c>
      <c r="F329" s="39">
        <v>108490898</v>
      </c>
      <c r="G329" s="49" t="str">
        <f>HYPERLINK("http://genome.ucsc.edu/cgi-bin/hgTracks?position=chrX:108490676-108491048", "Go2UCSC")</f>
        <v>Go2UCSC</v>
      </c>
      <c r="H329" s="50">
        <v>4.34</v>
      </c>
      <c r="I329" s="50">
        <v>1.375</v>
      </c>
      <c r="J329" s="51">
        <v>5.7149999999999999</v>
      </c>
      <c r="K329" s="52">
        <v>0.75940507436570426</v>
      </c>
      <c r="L329" s="51">
        <v>1.532171581769437</v>
      </c>
      <c r="M329" s="34">
        <v>3.04</v>
      </c>
      <c r="N329" s="34">
        <v>4.1866666666666701</v>
      </c>
      <c r="O329" s="34">
        <v>4.0533333333333301</v>
      </c>
      <c r="P329" s="34">
        <v>6.08</v>
      </c>
      <c r="Q329" s="34">
        <v>0.5</v>
      </c>
      <c r="R329" s="34">
        <v>1</v>
      </c>
      <c r="S329" s="34">
        <v>2</v>
      </c>
      <c r="T329" s="34">
        <v>2</v>
      </c>
    </row>
    <row r="330" spans="1:20" ht="25.5" x14ac:dyDescent="0.2">
      <c r="A330" s="12">
        <v>327</v>
      </c>
      <c r="B330" s="47" t="s">
        <v>345</v>
      </c>
      <c r="C330" s="65" t="s">
        <v>864</v>
      </c>
      <c r="D330" s="48" t="s">
        <v>414</v>
      </c>
      <c r="E330" s="38">
        <v>4223394</v>
      </c>
      <c r="F330" s="39">
        <v>4223466</v>
      </c>
      <c r="G330" s="49" t="str">
        <f>HYPERLINK("http://genome.ucsc.edu/cgi-bin/hgTracks?position=chr13:4223244-4223616", "Go2UCSC")</f>
        <v>Go2UCSC</v>
      </c>
      <c r="H330" s="50">
        <v>5.2466666666666644</v>
      </c>
      <c r="I330" s="50">
        <v>0.45444444443055554</v>
      </c>
      <c r="J330" s="51">
        <v>5.7011111110972195</v>
      </c>
      <c r="K330" s="52">
        <v>0.92028844280091671</v>
      </c>
      <c r="L330" s="51">
        <v>1.5284480190609167</v>
      </c>
      <c r="M330" s="34">
        <v>2.41333333333333</v>
      </c>
      <c r="N330" s="34">
        <v>4.2933333333333303</v>
      </c>
      <c r="O330" s="34">
        <v>9.1066666666666691</v>
      </c>
      <c r="P330" s="34">
        <v>5.1733333333333302</v>
      </c>
      <c r="Q330" s="34">
        <v>0.11111111111111101</v>
      </c>
      <c r="R330" s="34">
        <v>0.53111111111111109</v>
      </c>
      <c r="S330" s="34">
        <v>0.84222222219999998</v>
      </c>
      <c r="T330" s="34">
        <v>0.33333333330000003</v>
      </c>
    </row>
    <row r="331" spans="1:20" ht="25.5" x14ac:dyDescent="0.2">
      <c r="A331" s="12">
        <v>328</v>
      </c>
      <c r="B331" s="47" t="s">
        <v>443</v>
      </c>
      <c r="C331" s="65" t="s">
        <v>865</v>
      </c>
      <c r="D331" s="48" t="s">
        <v>424</v>
      </c>
      <c r="E331" s="38">
        <v>88471962</v>
      </c>
      <c r="F331" s="39">
        <v>88472034</v>
      </c>
      <c r="G331" s="49" t="str">
        <f>HYPERLINK("http://genome.ucsc.edu/cgi-bin/hgTracks?position=chr15:88471812-88472184", "Go2UCSC")</f>
        <v>Go2UCSC</v>
      </c>
      <c r="H331" s="50">
        <v>5.6066666666666745</v>
      </c>
      <c r="I331" s="50">
        <v>0</v>
      </c>
      <c r="J331" s="51">
        <v>5.6066666666666745</v>
      </c>
      <c r="K331" s="52">
        <v>1</v>
      </c>
      <c r="L331" s="51">
        <v>1.5031277926720306</v>
      </c>
      <c r="M331" s="34">
        <v>2.0266666666666699</v>
      </c>
      <c r="N331" s="34">
        <v>3.04</v>
      </c>
      <c r="O331" s="34">
        <v>6.4933333333333296</v>
      </c>
      <c r="P331" s="34">
        <v>10.866666666666699</v>
      </c>
      <c r="Q331" s="34">
        <v>0</v>
      </c>
      <c r="R331" s="34">
        <v>0</v>
      </c>
      <c r="S331" s="34">
        <v>0</v>
      </c>
      <c r="T331" s="34">
        <v>0</v>
      </c>
    </row>
    <row r="332" spans="1:20" x14ac:dyDescent="0.2">
      <c r="A332" s="12">
        <v>329</v>
      </c>
      <c r="B332" s="47" t="s">
        <v>403</v>
      </c>
      <c r="C332" s="65" t="s">
        <v>866</v>
      </c>
      <c r="D332" s="48" t="s">
        <v>179</v>
      </c>
      <c r="E332" s="38">
        <v>48106274</v>
      </c>
      <c r="F332" s="39">
        <v>48106345</v>
      </c>
      <c r="G332" s="49" t="str">
        <f>HYPERLINK("http://genome.ucsc.edu/cgi-bin/hgTracks?position=chr6:48106124-48106495", "Go2UCSC")</f>
        <v>Go2UCSC</v>
      </c>
      <c r="H332" s="50">
        <v>1.7499999999999993</v>
      </c>
      <c r="I332" s="50">
        <v>3.7682142857083325</v>
      </c>
      <c r="J332" s="51">
        <v>5.5182142857083321</v>
      </c>
      <c r="K332" s="52">
        <v>0.31713157724453334</v>
      </c>
      <c r="L332" s="51">
        <v>1.4833909370183687</v>
      </c>
      <c r="M332" s="34">
        <v>0.30666666666666703</v>
      </c>
      <c r="N332" s="34">
        <v>1.0133333333333301</v>
      </c>
      <c r="O332" s="34">
        <v>1.7066666666666701</v>
      </c>
      <c r="P332" s="34">
        <v>3.9733333333333301</v>
      </c>
      <c r="Q332" s="34">
        <v>4.84</v>
      </c>
      <c r="R332" s="34">
        <v>2.5433333333333299</v>
      </c>
      <c r="S332" s="34">
        <v>5.1761904762000004</v>
      </c>
      <c r="T332" s="34">
        <v>2.5133333332999999</v>
      </c>
    </row>
    <row r="333" spans="1:20" x14ac:dyDescent="0.2">
      <c r="A333" s="12">
        <v>330</v>
      </c>
      <c r="B333" s="47" t="s">
        <v>147</v>
      </c>
      <c r="C333" s="65" t="s">
        <v>867</v>
      </c>
      <c r="D333" s="48" t="s">
        <v>179</v>
      </c>
      <c r="E333" s="38">
        <v>48261498</v>
      </c>
      <c r="F333" s="39">
        <v>48261569</v>
      </c>
      <c r="G333" s="49" t="str">
        <f>HYPERLINK("http://genome.ucsc.edu/cgi-bin/hgTracks?position=chr6:48261348-48261719", "Go2UCSC")</f>
        <v>Go2UCSC</v>
      </c>
      <c r="H333" s="50">
        <v>4.2200000000000006</v>
      </c>
      <c r="I333" s="50">
        <v>1.2050000000083325</v>
      </c>
      <c r="J333" s="51">
        <v>5.4250000000083336</v>
      </c>
      <c r="K333" s="52">
        <v>0.77788018433060246</v>
      </c>
      <c r="L333" s="51">
        <v>1.4583333333355735</v>
      </c>
      <c r="M333" s="34">
        <v>4.0533333333333301</v>
      </c>
      <c r="N333" s="34">
        <v>2.62666666666667</v>
      </c>
      <c r="O333" s="34">
        <v>6.1866666666666701</v>
      </c>
      <c r="P333" s="34">
        <v>4.0133333333333301</v>
      </c>
      <c r="Q333" s="34">
        <v>1.5333333333333301</v>
      </c>
      <c r="R333" s="34">
        <v>1.37</v>
      </c>
      <c r="S333" s="34">
        <v>0.91666666670000008</v>
      </c>
      <c r="T333" s="34">
        <v>1</v>
      </c>
    </row>
    <row r="334" spans="1:20" x14ac:dyDescent="0.2">
      <c r="A334" s="12">
        <v>331</v>
      </c>
      <c r="B334" s="47" t="s">
        <v>436</v>
      </c>
      <c r="C334" s="65" t="s">
        <v>868</v>
      </c>
      <c r="D334" s="48" t="s">
        <v>179</v>
      </c>
      <c r="E334" s="38">
        <v>48159837</v>
      </c>
      <c r="F334" s="39">
        <v>48159908</v>
      </c>
      <c r="G334" s="49" t="str">
        <f>HYPERLINK("http://genome.ucsc.edu/cgi-bin/hgTracks?position=chr6:48159687-48160058", "Go2UCSC")</f>
        <v>Go2UCSC</v>
      </c>
      <c r="H334" s="50">
        <v>5.4</v>
      </c>
      <c r="I334" s="50">
        <v>0</v>
      </c>
      <c r="J334" s="51">
        <v>5.4</v>
      </c>
      <c r="K334" s="52">
        <v>1</v>
      </c>
      <c r="L334" s="51">
        <v>1.4516129032258065</v>
      </c>
      <c r="M334" s="34">
        <v>4.88</v>
      </c>
      <c r="N334" s="34">
        <v>4.32</v>
      </c>
      <c r="O334" s="34">
        <v>8.4933333333333305</v>
      </c>
      <c r="P334" s="34">
        <v>3.9066666666666698</v>
      </c>
      <c r="Q334" s="34">
        <v>0</v>
      </c>
      <c r="R334" s="34">
        <v>0</v>
      </c>
      <c r="S334" s="34">
        <v>0</v>
      </c>
      <c r="T334" s="34">
        <v>0</v>
      </c>
    </row>
    <row r="335" spans="1:20" x14ac:dyDescent="0.2">
      <c r="A335" s="12">
        <v>332</v>
      </c>
      <c r="B335" s="47" t="s">
        <v>306</v>
      </c>
      <c r="C335" s="65" t="s">
        <v>869</v>
      </c>
      <c r="D335" s="48" t="s">
        <v>179</v>
      </c>
      <c r="E335" s="38">
        <v>48223679</v>
      </c>
      <c r="F335" s="39">
        <v>48223750</v>
      </c>
      <c r="G335" s="49" t="str">
        <f>HYPERLINK("http://genome.ucsc.edu/cgi-bin/hgTracks?position=chr6:48223529-48223900", "Go2UCSC")</f>
        <v>Go2UCSC</v>
      </c>
      <c r="H335" s="50">
        <v>2.9066666666666681</v>
      </c>
      <c r="I335" s="50">
        <v>2.4799999999833351</v>
      </c>
      <c r="J335" s="51">
        <v>5.3866666666500027</v>
      </c>
      <c r="K335" s="52">
        <v>0.53960396039770919</v>
      </c>
      <c r="L335" s="51">
        <v>1.448028673830646</v>
      </c>
      <c r="M335" s="34">
        <v>0.133333333333333</v>
      </c>
      <c r="N335" s="34">
        <v>2.62666666666667</v>
      </c>
      <c r="O335" s="34">
        <v>1.54666666666667</v>
      </c>
      <c r="P335" s="34">
        <v>7.32</v>
      </c>
      <c r="Q335" s="34">
        <v>1.2066666666666701</v>
      </c>
      <c r="R335" s="34">
        <v>2.58666666666667</v>
      </c>
      <c r="S335" s="34">
        <v>2.7533333333000001</v>
      </c>
      <c r="T335" s="34">
        <v>3.3733333333000002</v>
      </c>
    </row>
    <row r="336" spans="1:20" ht="25.5" x14ac:dyDescent="0.2">
      <c r="A336" s="12">
        <v>333</v>
      </c>
      <c r="B336" s="47" t="s">
        <v>67</v>
      </c>
      <c r="C336" s="65" t="s">
        <v>870</v>
      </c>
      <c r="D336" s="48" t="s">
        <v>414</v>
      </c>
      <c r="E336" s="38">
        <v>21998980</v>
      </c>
      <c r="F336" s="39">
        <v>21999051</v>
      </c>
      <c r="G336" s="49" t="str">
        <f>HYPERLINK("http://genome.ucsc.edu/cgi-bin/hgTracks?position=chr13:21998830-21999201", "Go2UCSC")</f>
        <v>Go2UCSC</v>
      </c>
      <c r="H336" s="50">
        <v>5.29</v>
      </c>
      <c r="I336" s="50">
        <v>0</v>
      </c>
      <c r="J336" s="51">
        <v>5.29</v>
      </c>
      <c r="K336" s="52">
        <v>1</v>
      </c>
      <c r="L336" s="51">
        <v>1.4220430107526882</v>
      </c>
      <c r="M336" s="34">
        <v>3.2</v>
      </c>
      <c r="N336" s="34">
        <v>2.2133333333333298</v>
      </c>
      <c r="O336" s="34">
        <v>7.3866666666666703</v>
      </c>
      <c r="P336" s="34">
        <v>8.36</v>
      </c>
      <c r="Q336" s="34">
        <v>0</v>
      </c>
      <c r="R336" s="34">
        <v>0</v>
      </c>
      <c r="S336" s="34">
        <v>0</v>
      </c>
      <c r="T336" s="34">
        <v>0</v>
      </c>
    </row>
    <row r="337" spans="1:20" x14ac:dyDescent="0.2">
      <c r="A337" s="12">
        <v>334</v>
      </c>
      <c r="B337" s="55" t="s">
        <v>158</v>
      </c>
      <c r="C337" s="66" t="s">
        <v>871</v>
      </c>
      <c r="D337" s="48" t="s">
        <v>30</v>
      </c>
      <c r="E337" s="38">
        <v>173599570</v>
      </c>
      <c r="F337" s="39">
        <v>173599642</v>
      </c>
      <c r="G337" s="49" t="str">
        <f>HYPERLINK("http://genome.ucsc.edu/cgi-bin/hgTracks?position=chr1:173599420-173599792", "Go2UCSC")</f>
        <v>Go2UCSC</v>
      </c>
      <c r="H337" s="50">
        <v>4.6099999999999994</v>
      </c>
      <c r="I337" s="50">
        <v>0.63772195468618886</v>
      </c>
      <c r="J337" s="51">
        <v>5.2477219546861882</v>
      </c>
      <c r="K337" s="52">
        <v>0.87847642077974308</v>
      </c>
      <c r="L337" s="51">
        <v>1.4068959664038039</v>
      </c>
      <c r="M337" s="34">
        <v>3.04</v>
      </c>
      <c r="N337" s="34">
        <v>7.3333333333333304</v>
      </c>
      <c r="O337" s="34">
        <v>7.68</v>
      </c>
      <c r="P337" s="34">
        <v>0.38666666666666705</v>
      </c>
      <c r="Q337" s="34">
        <v>0.19965217176300101</v>
      </c>
      <c r="R337" s="34">
        <v>0.92785284028175408</v>
      </c>
      <c r="S337" s="34">
        <v>0.65844290410000006</v>
      </c>
      <c r="T337" s="34">
        <v>0.7649399026</v>
      </c>
    </row>
    <row r="338" spans="1:20" ht="25.5" x14ac:dyDescent="0.2">
      <c r="A338" s="12">
        <v>335</v>
      </c>
      <c r="B338" s="47" t="s">
        <v>534</v>
      </c>
      <c r="C338" s="65" t="s">
        <v>872</v>
      </c>
      <c r="D338" s="48" t="s">
        <v>88</v>
      </c>
      <c r="E338" s="38">
        <v>73950817</v>
      </c>
      <c r="F338" s="39">
        <v>73950889</v>
      </c>
      <c r="G338" s="49" t="str">
        <f>HYPERLINK("http://genome.ucsc.edu/cgi-bin/hgTracks?position=chr11:73950667-73951039", "Go2UCSC")</f>
        <v>Go2UCSC</v>
      </c>
      <c r="H338" s="50">
        <v>5.243333333333335</v>
      </c>
      <c r="I338" s="50">
        <v>0</v>
      </c>
      <c r="J338" s="51">
        <v>5.243333333333335</v>
      </c>
      <c r="K338" s="52">
        <v>1</v>
      </c>
      <c r="L338" s="51">
        <v>1.405719392314567</v>
      </c>
      <c r="M338" s="34">
        <v>6.2266666666666701</v>
      </c>
      <c r="N338" s="34">
        <v>2.0266666666666699</v>
      </c>
      <c r="O338" s="34">
        <v>3.8666666666666698</v>
      </c>
      <c r="P338" s="34">
        <v>8.8533333333333299</v>
      </c>
      <c r="Q338" s="34">
        <v>0</v>
      </c>
      <c r="R338" s="34">
        <v>0</v>
      </c>
      <c r="S338" s="34">
        <v>0</v>
      </c>
      <c r="T338" s="34">
        <v>0</v>
      </c>
    </row>
    <row r="339" spans="1:20" x14ac:dyDescent="0.2">
      <c r="A339" s="12">
        <v>336</v>
      </c>
      <c r="B339" s="47" t="s">
        <v>304</v>
      </c>
      <c r="C339" s="65" t="s">
        <v>873</v>
      </c>
      <c r="D339" s="48" t="s">
        <v>179</v>
      </c>
      <c r="E339" s="38">
        <v>48218457</v>
      </c>
      <c r="F339" s="39">
        <v>48218528</v>
      </c>
      <c r="G339" s="49" t="str">
        <f>HYPERLINK("http://genome.ucsc.edu/cgi-bin/hgTracks?position=chr6:48218307-48218678", "Go2UCSC")</f>
        <v>Go2UCSC</v>
      </c>
      <c r="H339" s="50">
        <v>2.7633333333333328</v>
      </c>
      <c r="I339" s="50">
        <v>2.4549999999916676</v>
      </c>
      <c r="J339" s="51">
        <v>5.2183333333250008</v>
      </c>
      <c r="K339" s="52">
        <v>0.52954327690918146</v>
      </c>
      <c r="L339" s="51">
        <v>1.4027777777755377</v>
      </c>
      <c r="M339" s="34">
        <v>3.92</v>
      </c>
      <c r="N339" s="34">
        <v>2.4</v>
      </c>
      <c r="O339" s="34">
        <v>1.69333333333333</v>
      </c>
      <c r="P339" s="34">
        <v>3.04</v>
      </c>
      <c r="Q339" s="34">
        <v>3.75</v>
      </c>
      <c r="R339" s="34">
        <v>2.9666666666666699</v>
      </c>
      <c r="S339" s="34">
        <v>2.1033333333000002</v>
      </c>
      <c r="T339" s="34">
        <v>1</v>
      </c>
    </row>
    <row r="340" spans="1:20" x14ac:dyDescent="0.2">
      <c r="A340" s="12">
        <v>337</v>
      </c>
      <c r="B340" s="47" t="s">
        <v>363</v>
      </c>
      <c r="C340" s="65" t="s">
        <v>874</v>
      </c>
      <c r="D340" s="48" t="s">
        <v>257</v>
      </c>
      <c r="E340" s="38">
        <v>104306386</v>
      </c>
      <c r="F340" s="39">
        <v>104306457</v>
      </c>
      <c r="G340" s="49" t="str">
        <f>HYPERLINK("http://genome.ucsc.edu/cgi-bin/hgTracks?position=chr9:104306236-104306607", "Go2UCSC")</f>
        <v>Go2UCSC</v>
      </c>
      <c r="H340" s="50">
        <v>5.1066666666666674</v>
      </c>
      <c r="I340" s="50">
        <v>0</v>
      </c>
      <c r="J340" s="51">
        <v>5.1066666666666674</v>
      </c>
      <c r="K340" s="52">
        <v>1</v>
      </c>
      <c r="L340" s="51">
        <v>1.3727598566308246</v>
      </c>
      <c r="M340" s="34">
        <v>3.0533333333333301</v>
      </c>
      <c r="N340" s="34">
        <v>3.04</v>
      </c>
      <c r="O340" s="34">
        <v>5.06666666666667</v>
      </c>
      <c r="P340" s="34">
        <v>9.2666666666666693</v>
      </c>
      <c r="Q340" s="34">
        <v>0</v>
      </c>
      <c r="R340" s="34">
        <v>0</v>
      </c>
      <c r="S340" s="34">
        <v>0</v>
      </c>
      <c r="T340" s="34">
        <v>0</v>
      </c>
    </row>
    <row r="341" spans="1:20" ht="25.5" x14ac:dyDescent="0.2">
      <c r="A341" s="12">
        <v>338</v>
      </c>
      <c r="B341" s="47" t="s">
        <v>349</v>
      </c>
      <c r="C341" s="65" t="s">
        <v>875</v>
      </c>
      <c r="D341" s="48" t="s">
        <v>414</v>
      </c>
      <c r="E341" s="38">
        <v>21584714</v>
      </c>
      <c r="F341" s="39">
        <v>21584795</v>
      </c>
      <c r="G341" s="49" t="str">
        <f>HYPERLINK("http://genome.ucsc.edu/cgi-bin/hgTracks?position=chr13:21584564-21584945", "Go2UCSC")</f>
        <v>Go2UCSC</v>
      </c>
      <c r="H341" s="50">
        <v>3.486666666666665</v>
      </c>
      <c r="I341" s="50">
        <v>1.75</v>
      </c>
      <c r="J341" s="51">
        <v>5.2366666666666646</v>
      </c>
      <c r="K341" s="52">
        <v>0.66581795035009539</v>
      </c>
      <c r="L341" s="51">
        <v>1.370855148342059</v>
      </c>
      <c r="M341" s="34">
        <v>4.0533333333333301</v>
      </c>
      <c r="N341" s="34">
        <v>2.0266666666666699</v>
      </c>
      <c r="O341" s="34">
        <v>5.1733333333333302</v>
      </c>
      <c r="P341" s="34">
        <v>2.6933333333333298</v>
      </c>
      <c r="Q341" s="34">
        <v>1.5</v>
      </c>
      <c r="R341" s="34">
        <v>1.5</v>
      </c>
      <c r="S341" s="34">
        <v>2</v>
      </c>
      <c r="T341" s="34">
        <v>2</v>
      </c>
    </row>
    <row r="342" spans="1:20" x14ac:dyDescent="0.2">
      <c r="A342" s="12">
        <v>339</v>
      </c>
      <c r="B342" s="47" t="s">
        <v>452</v>
      </c>
      <c r="C342" s="65" t="s">
        <v>876</v>
      </c>
      <c r="D342" s="48" t="s">
        <v>179</v>
      </c>
      <c r="E342" s="38">
        <v>48313531</v>
      </c>
      <c r="F342" s="39">
        <v>48313602</v>
      </c>
      <c r="G342" s="49" t="str">
        <f>HYPERLINK("http://genome.ucsc.edu/cgi-bin/hgTracks?position=chr6:48313381-48313752", "Go2UCSC")</f>
        <v>Go2UCSC</v>
      </c>
      <c r="H342" s="50">
        <v>1.99</v>
      </c>
      <c r="I342" s="50">
        <v>3.1049999999833324</v>
      </c>
      <c r="J342" s="51">
        <v>5.0949999999833322</v>
      </c>
      <c r="K342" s="52">
        <v>0.39057899901992349</v>
      </c>
      <c r="L342" s="51">
        <v>1.3696236559094979</v>
      </c>
      <c r="M342" s="34">
        <v>3.08</v>
      </c>
      <c r="N342" s="34">
        <v>1.0133333333333301</v>
      </c>
      <c r="O342" s="34">
        <v>2.0266666666666699</v>
      </c>
      <c r="P342" s="34">
        <v>1.84</v>
      </c>
      <c r="Q342" s="34">
        <v>1.7066666666666701</v>
      </c>
      <c r="R342" s="34">
        <v>3.5866666666666598</v>
      </c>
      <c r="S342" s="34">
        <v>3.2533333333000001</v>
      </c>
      <c r="T342" s="34">
        <v>3.8733333333000002</v>
      </c>
    </row>
    <row r="343" spans="1:20" x14ac:dyDescent="0.2">
      <c r="A343" s="12">
        <v>340</v>
      </c>
      <c r="B343" s="47" t="s">
        <v>82</v>
      </c>
      <c r="C343" s="65" t="s">
        <v>877</v>
      </c>
      <c r="D343" s="48" t="s">
        <v>179</v>
      </c>
      <c r="E343" s="38">
        <v>48090483</v>
      </c>
      <c r="F343" s="39">
        <v>48090554</v>
      </c>
      <c r="G343" s="49" t="str">
        <f>HYPERLINK("http://genome.ucsc.edu/cgi-bin/hgTracks?position=chr6:48090333-48090704", "Go2UCSC")</f>
        <v>Go2UCSC</v>
      </c>
      <c r="H343" s="50">
        <v>5.0466666666666677</v>
      </c>
      <c r="I343" s="50">
        <v>0</v>
      </c>
      <c r="J343" s="51">
        <v>5.0466666666666677</v>
      </c>
      <c r="K343" s="52">
        <v>1</v>
      </c>
      <c r="L343" s="51">
        <v>1.3566308243727603</v>
      </c>
      <c r="M343" s="34">
        <v>5.8133333333333299</v>
      </c>
      <c r="N343" s="34">
        <v>3.44</v>
      </c>
      <c r="O343" s="34">
        <v>3.9066666666666698</v>
      </c>
      <c r="P343" s="34">
        <v>7.0266666666666699</v>
      </c>
      <c r="Q343" s="34">
        <v>0</v>
      </c>
      <c r="R343" s="34">
        <v>0</v>
      </c>
      <c r="S343" s="34">
        <v>0</v>
      </c>
      <c r="T343" s="34">
        <v>0</v>
      </c>
    </row>
    <row r="344" spans="1:20" ht="25.5" x14ac:dyDescent="0.2">
      <c r="A344" s="12">
        <v>341</v>
      </c>
      <c r="B344" s="47" t="s">
        <v>218</v>
      </c>
      <c r="C344" s="65" t="s">
        <v>878</v>
      </c>
      <c r="D344" s="48" t="s">
        <v>204</v>
      </c>
      <c r="E344" s="38">
        <v>23675733</v>
      </c>
      <c r="F344" s="39">
        <v>23675804</v>
      </c>
      <c r="G344" s="49" t="str">
        <f>HYPERLINK("http://genome.ucsc.edu/cgi-bin/hgTracks?position=chr17:23675583-23675954", "Go2UCSC")</f>
        <v>Go2UCSC</v>
      </c>
      <c r="H344" s="50">
        <v>4.9833333333333298</v>
      </c>
      <c r="I344" s="50">
        <v>0</v>
      </c>
      <c r="J344" s="51">
        <v>4.9833333333333298</v>
      </c>
      <c r="K344" s="52">
        <v>1</v>
      </c>
      <c r="L344" s="51">
        <v>1.339605734767024</v>
      </c>
      <c r="M344" s="34">
        <v>1.0133333333333301</v>
      </c>
      <c r="N344" s="34">
        <v>5.1733333333333302</v>
      </c>
      <c r="O344" s="34">
        <v>4.4533333333333296</v>
      </c>
      <c r="P344" s="34">
        <v>9.2933333333333294</v>
      </c>
      <c r="Q344" s="34">
        <v>0</v>
      </c>
      <c r="R344" s="34">
        <v>0</v>
      </c>
      <c r="S344" s="34">
        <v>0</v>
      </c>
      <c r="T344" s="34">
        <v>0</v>
      </c>
    </row>
    <row r="345" spans="1:20" ht="25.5" x14ac:dyDescent="0.2">
      <c r="A345" s="12">
        <v>342</v>
      </c>
      <c r="B345" s="47" t="s">
        <v>347</v>
      </c>
      <c r="C345" s="65" t="s">
        <v>879</v>
      </c>
      <c r="D345" s="48" t="s">
        <v>414</v>
      </c>
      <c r="E345" s="38">
        <v>21360338</v>
      </c>
      <c r="F345" s="39">
        <v>21360409</v>
      </c>
      <c r="G345" s="49" t="str">
        <f>HYPERLINK("http://genome.ucsc.edu/cgi-bin/hgTracks?position=chr13:21360188-21360559", "Go2UCSC")</f>
        <v>Go2UCSC</v>
      </c>
      <c r="H345" s="50">
        <v>4.9466666666666654</v>
      </c>
      <c r="I345" s="50">
        <v>0</v>
      </c>
      <c r="J345" s="51">
        <v>4.9466666666666654</v>
      </c>
      <c r="K345" s="52">
        <v>1</v>
      </c>
      <c r="L345" s="51">
        <v>1.3297491039426519</v>
      </c>
      <c r="M345" s="34">
        <v>3.08</v>
      </c>
      <c r="N345" s="34">
        <v>4.0533333333333301</v>
      </c>
      <c r="O345" s="34">
        <v>4.0533333333333301</v>
      </c>
      <c r="P345" s="34">
        <v>8.6</v>
      </c>
      <c r="Q345" s="34">
        <v>0</v>
      </c>
      <c r="R345" s="34">
        <v>0</v>
      </c>
      <c r="S345" s="34">
        <v>0</v>
      </c>
      <c r="T345" s="34">
        <v>0</v>
      </c>
    </row>
    <row r="346" spans="1:20" x14ac:dyDescent="0.2">
      <c r="A346" s="12">
        <v>343</v>
      </c>
      <c r="B346" s="47" t="s">
        <v>529</v>
      </c>
      <c r="C346" s="65" t="s">
        <v>880</v>
      </c>
      <c r="D346" s="48" t="s">
        <v>252</v>
      </c>
      <c r="E346" s="38">
        <v>96138538</v>
      </c>
      <c r="F346" s="39">
        <v>96138611</v>
      </c>
      <c r="G346" s="49" t="str">
        <f>HYPERLINK("http://genome.ucsc.edu/cgi-bin/hgTracks?position=chr3:96138388-96138752", "Go2UCSC")</f>
        <v>Go2UCSC</v>
      </c>
      <c r="H346" s="50">
        <v>4.0533333333333328</v>
      </c>
      <c r="I346" s="50">
        <v>0.6850000000166675</v>
      </c>
      <c r="J346" s="51">
        <v>4.73833333335</v>
      </c>
      <c r="K346" s="52">
        <v>0.85543440027838391</v>
      </c>
      <c r="L346" s="51">
        <v>1.2981735159863015</v>
      </c>
      <c r="M346" s="34">
        <v>4.0533333333333301</v>
      </c>
      <c r="N346" s="34">
        <v>1.0133333333333301</v>
      </c>
      <c r="O346" s="34">
        <v>3.04</v>
      </c>
      <c r="P346" s="34">
        <v>8.1066666666666691</v>
      </c>
      <c r="Q346" s="34">
        <v>1.04666666666667</v>
      </c>
      <c r="R346" s="34">
        <v>0</v>
      </c>
      <c r="S346" s="34">
        <v>1.2466666666999999</v>
      </c>
      <c r="T346" s="34">
        <v>0.44666666669999999</v>
      </c>
    </row>
    <row r="347" spans="1:20" x14ac:dyDescent="0.2">
      <c r="A347" s="12">
        <v>344</v>
      </c>
      <c r="B347" s="47" t="s">
        <v>450</v>
      </c>
      <c r="C347" s="65" t="s">
        <v>881</v>
      </c>
      <c r="D347" s="48" t="s">
        <v>30</v>
      </c>
      <c r="E347" s="38">
        <v>155305794</v>
      </c>
      <c r="F347" s="39">
        <v>155305866</v>
      </c>
      <c r="G347" s="49" t="str">
        <f>HYPERLINK("http://genome.ucsc.edu/cgi-bin/hgTracks?position=chr1:155305644-155306016", "Go2UCSC")</f>
        <v>Go2UCSC</v>
      </c>
      <c r="H347" s="50">
        <v>4.83</v>
      </c>
      <c r="I347" s="50">
        <v>0</v>
      </c>
      <c r="J347" s="51">
        <v>4.83</v>
      </c>
      <c r="K347" s="52">
        <v>1</v>
      </c>
      <c r="L347" s="51">
        <v>1.2949061662198391</v>
      </c>
      <c r="M347" s="34">
        <v>7.0933333333333302</v>
      </c>
      <c r="N347" s="34">
        <v>6.7733333333333299</v>
      </c>
      <c r="O347" s="34">
        <v>3.6666666666666701</v>
      </c>
      <c r="P347" s="34">
        <v>1.78666666666667</v>
      </c>
      <c r="Q347" s="34">
        <v>0</v>
      </c>
      <c r="R347" s="34">
        <v>0</v>
      </c>
      <c r="S347" s="34">
        <v>0</v>
      </c>
      <c r="T347" s="34">
        <v>0</v>
      </c>
    </row>
    <row r="348" spans="1:20" ht="25.5" x14ac:dyDescent="0.2">
      <c r="A348" s="12">
        <v>345</v>
      </c>
      <c r="B348" s="47" t="s">
        <v>406</v>
      </c>
      <c r="C348" s="65" t="s">
        <v>882</v>
      </c>
      <c r="D348" s="48" t="s">
        <v>88</v>
      </c>
      <c r="E348" s="38">
        <v>121825376</v>
      </c>
      <c r="F348" s="39">
        <v>121825448</v>
      </c>
      <c r="G348" s="49" t="str">
        <f>HYPERLINK("http://genome.ucsc.edu/cgi-bin/hgTracks?position=chr11:121825226-121825598", "Go2UCSC")</f>
        <v>Go2UCSC</v>
      </c>
      <c r="H348" s="50">
        <v>4.8133333333333326</v>
      </c>
      <c r="I348" s="50">
        <v>0</v>
      </c>
      <c r="J348" s="51">
        <v>4.8133333333333326</v>
      </c>
      <c r="K348" s="52">
        <v>1</v>
      </c>
      <c r="L348" s="51">
        <v>1.2904378909740839</v>
      </c>
      <c r="M348" s="34">
        <v>2.0266666666666699</v>
      </c>
      <c r="N348" s="34">
        <v>3.04</v>
      </c>
      <c r="O348" s="34">
        <v>7.0933333333333302</v>
      </c>
      <c r="P348" s="34">
        <v>7.0933333333333302</v>
      </c>
      <c r="Q348" s="34">
        <v>0</v>
      </c>
      <c r="R348" s="34">
        <v>0</v>
      </c>
      <c r="S348" s="34">
        <v>0</v>
      </c>
      <c r="T348" s="34">
        <v>0</v>
      </c>
    </row>
    <row r="349" spans="1:20" x14ac:dyDescent="0.2">
      <c r="A349" s="12">
        <v>346</v>
      </c>
      <c r="B349" s="47" t="s">
        <v>142</v>
      </c>
      <c r="C349" s="65" t="s">
        <v>883</v>
      </c>
      <c r="D349" s="48" t="s">
        <v>179</v>
      </c>
      <c r="E349" s="38">
        <v>48252458</v>
      </c>
      <c r="F349" s="39">
        <v>48252529</v>
      </c>
      <c r="G349" s="49" t="str">
        <f>HYPERLINK("http://genome.ucsc.edu/cgi-bin/hgTracks?position=chr6:48252308-48252679", "Go2UCSC")</f>
        <v>Go2UCSC</v>
      </c>
      <c r="H349" s="50">
        <v>3.6733333333333329</v>
      </c>
      <c r="I349" s="50">
        <v>1.125</v>
      </c>
      <c r="J349" s="51">
        <v>4.7983333333333329</v>
      </c>
      <c r="K349" s="52">
        <v>0.76554359152483498</v>
      </c>
      <c r="L349" s="51">
        <v>1.2898745519713262</v>
      </c>
      <c r="M349" s="34">
        <v>2.04</v>
      </c>
      <c r="N349" s="34">
        <v>2.0266666666666699</v>
      </c>
      <c r="O349" s="34">
        <v>3.5333333333333301</v>
      </c>
      <c r="P349" s="34">
        <v>7.0933333333333302</v>
      </c>
      <c r="Q349" s="34">
        <v>0</v>
      </c>
      <c r="R349" s="34">
        <v>2</v>
      </c>
      <c r="S349" s="34">
        <v>1</v>
      </c>
      <c r="T349" s="34">
        <v>1.5</v>
      </c>
    </row>
    <row r="350" spans="1:20" x14ac:dyDescent="0.2">
      <c r="A350" s="12">
        <v>347</v>
      </c>
      <c r="B350" s="47" t="s">
        <v>353</v>
      </c>
      <c r="C350" s="65" t="s">
        <v>884</v>
      </c>
      <c r="D350" s="48" t="s">
        <v>252</v>
      </c>
      <c r="E350" s="38">
        <v>96267895</v>
      </c>
      <c r="F350" s="39">
        <v>96267966</v>
      </c>
      <c r="G350" s="49" t="str">
        <f>HYPERLINK("http://genome.ucsc.edu/cgi-bin/hgTracks?position=chr3:96267745-96268116", "Go2UCSC")</f>
        <v>Go2UCSC</v>
      </c>
      <c r="H350" s="50">
        <v>4.7666666666666675</v>
      </c>
      <c r="I350" s="50">
        <v>0</v>
      </c>
      <c r="J350" s="51">
        <v>4.7666666666666675</v>
      </c>
      <c r="K350" s="52">
        <v>1</v>
      </c>
      <c r="L350" s="51">
        <v>1.281362007168459</v>
      </c>
      <c r="M350" s="34">
        <v>6.1866666666666701</v>
      </c>
      <c r="N350" s="34">
        <v>2.6933333333333298</v>
      </c>
      <c r="O350" s="34">
        <v>4.1866666666666701</v>
      </c>
      <c r="P350" s="34">
        <v>6</v>
      </c>
      <c r="Q350" s="34">
        <v>0</v>
      </c>
      <c r="R350" s="34">
        <v>0</v>
      </c>
      <c r="S350" s="34">
        <v>0</v>
      </c>
      <c r="T350" s="34">
        <v>0</v>
      </c>
    </row>
    <row r="351" spans="1:20" ht="25.5" x14ac:dyDescent="0.2">
      <c r="A351" s="12">
        <v>348</v>
      </c>
      <c r="B351" s="47" t="s">
        <v>76</v>
      </c>
      <c r="C351" s="65" t="s">
        <v>885</v>
      </c>
      <c r="D351" s="48" t="s">
        <v>88</v>
      </c>
      <c r="E351" s="38">
        <v>116277293</v>
      </c>
      <c r="F351" s="39">
        <v>116277365</v>
      </c>
      <c r="G351" s="49" t="str">
        <f>HYPERLINK("http://genome.ucsc.edu/cgi-bin/hgTracks?position=chr11:116277143-116277515", "Go2UCSC")</f>
        <v>Go2UCSC</v>
      </c>
      <c r="H351" s="50">
        <v>4.71</v>
      </c>
      <c r="I351" s="50">
        <v>0</v>
      </c>
      <c r="J351" s="51">
        <v>4.71</v>
      </c>
      <c r="K351" s="52">
        <v>1</v>
      </c>
      <c r="L351" s="51">
        <v>1.2627345844504021</v>
      </c>
      <c r="M351" s="34">
        <v>1.0133333333333301</v>
      </c>
      <c r="N351" s="34">
        <v>2.9733333333333301</v>
      </c>
      <c r="O351" s="34">
        <v>9.8666666666666707</v>
      </c>
      <c r="P351" s="34">
        <v>4.9866666666666699</v>
      </c>
      <c r="Q351" s="34">
        <v>0</v>
      </c>
      <c r="R351" s="34">
        <v>0</v>
      </c>
      <c r="S351" s="34">
        <v>0</v>
      </c>
      <c r="T351" s="34">
        <v>0</v>
      </c>
    </row>
    <row r="352" spans="1:20" x14ac:dyDescent="0.2">
      <c r="A352" s="12">
        <v>349</v>
      </c>
      <c r="B352" s="47" t="s">
        <v>437</v>
      </c>
      <c r="C352" s="65" t="s">
        <v>886</v>
      </c>
      <c r="D352" s="48" t="s">
        <v>179</v>
      </c>
      <c r="E352" s="38">
        <v>48173093</v>
      </c>
      <c r="F352" s="39">
        <v>48173164</v>
      </c>
      <c r="G352" s="49" t="str">
        <f>HYPERLINK("http://genome.ucsc.edu/cgi-bin/hgTracks?position=chr6:48172943-48173314", "Go2UCSC")</f>
        <v>Go2UCSC</v>
      </c>
      <c r="H352" s="50">
        <v>4.5266666666666673</v>
      </c>
      <c r="I352" s="50">
        <v>0</v>
      </c>
      <c r="J352" s="51">
        <v>4.5266666666666673</v>
      </c>
      <c r="K352" s="52">
        <v>1</v>
      </c>
      <c r="L352" s="51">
        <v>1.2168458781362008</v>
      </c>
      <c r="M352" s="34">
        <v>7.7866666666666697</v>
      </c>
      <c r="N352" s="34">
        <v>2.0266666666666699</v>
      </c>
      <c r="O352" s="34">
        <v>4.1733333333333302</v>
      </c>
      <c r="P352" s="34">
        <v>4.12</v>
      </c>
      <c r="Q352" s="34">
        <v>0</v>
      </c>
      <c r="R352" s="34">
        <v>0</v>
      </c>
      <c r="S352" s="34">
        <v>0</v>
      </c>
      <c r="T352" s="34">
        <v>0</v>
      </c>
    </row>
    <row r="353" spans="1:20" x14ac:dyDescent="0.2">
      <c r="A353" s="12">
        <v>350</v>
      </c>
      <c r="B353" s="47" t="s">
        <v>457</v>
      </c>
      <c r="C353" s="65" t="s">
        <v>887</v>
      </c>
      <c r="D353" s="48" t="s">
        <v>179</v>
      </c>
      <c r="E353" s="38">
        <v>48136317</v>
      </c>
      <c r="F353" s="39">
        <v>48136388</v>
      </c>
      <c r="G353" s="49" t="str">
        <f>HYPERLINK("http://genome.ucsc.edu/cgi-bin/hgTracks?position=chr6:48136167-48136538", "Go2UCSC")</f>
        <v>Go2UCSC</v>
      </c>
      <c r="H353" s="50">
        <v>4.5266666666666673</v>
      </c>
      <c r="I353" s="50">
        <v>0</v>
      </c>
      <c r="J353" s="51">
        <v>4.5266666666666673</v>
      </c>
      <c r="K353" s="52">
        <v>1</v>
      </c>
      <c r="L353" s="51">
        <v>1.2168458781362008</v>
      </c>
      <c r="M353" s="34">
        <v>2.58666666666667</v>
      </c>
      <c r="N353" s="34">
        <v>2.5733333333333301</v>
      </c>
      <c r="O353" s="34">
        <v>7.3466666666666702</v>
      </c>
      <c r="P353" s="34">
        <v>5.6</v>
      </c>
      <c r="Q353" s="34">
        <v>0</v>
      </c>
      <c r="R353" s="34">
        <v>0</v>
      </c>
      <c r="S353" s="34">
        <v>0</v>
      </c>
      <c r="T353" s="34">
        <v>0</v>
      </c>
    </row>
    <row r="354" spans="1:20" x14ac:dyDescent="0.2">
      <c r="A354" s="12">
        <v>351</v>
      </c>
      <c r="B354" s="47" t="s">
        <v>242</v>
      </c>
      <c r="C354" s="65" t="s">
        <v>888</v>
      </c>
      <c r="D354" s="48" t="s">
        <v>255</v>
      </c>
      <c r="E354" s="38">
        <v>39276255</v>
      </c>
      <c r="F354" s="39">
        <v>39276337</v>
      </c>
      <c r="G354" s="49" t="str">
        <f>HYPERLINK("http://genome.ucsc.edu/cgi-bin/hgTracks?position=chr8:39276105-39276487", "Go2UCSC")</f>
        <v>Go2UCSC</v>
      </c>
      <c r="H354" s="50">
        <v>3.8</v>
      </c>
      <c r="I354" s="50">
        <v>0.84841179085779106</v>
      </c>
      <c r="J354" s="51">
        <v>4.6484117908577911</v>
      </c>
      <c r="K354" s="52">
        <v>0.81748351285779042</v>
      </c>
      <c r="L354" s="51">
        <v>1.2136845406939403</v>
      </c>
      <c r="M354" s="34">
        <v>6.08</v>
      </c>
      <c r="N354" s="34">
        <v>3.04</v>
      </c>
      <c r="O354" s="34">
        <v>4.0533333333333301</v>
      </c>
      <c r="P354" s="34">
        <v>2.0266666666666699</v>
      </c>
      <c r="Q354" s="34">
        <v>0.73421408482551409</v>
      </c>
      <c r="R354" s="34">
        <v>0.58357066510565003</v>
      </c>
      <c r="S354" s="34">
        <v>0.8148693065</v>
      </c>
      <c r="T354" s="34">
        <v>1.260993107</v>
      </c>
    </row>
    <row r="355" spans="1:20" x14ac:dyDescent="0.2">
      <c r="A355" s="12">
        <v>352</v>
      </c>
      <c r="B355" s="47" t="s">
        <v>144</v>
      </c>
      <c r="C355" s="65" t="s">
        <v>889</v>
      </c>
      <c r="D355" s="48" t="s">
        <v>179</v>
      </c>
      <c r="E355" s="38">
        <v>48255463</v>
      </c>
      <c r="F355" s="39">
        <v>48255534</v>
      </c>
      <c r="G355" s="49" t="str">
        <f>HYPERLINK("http://genome.ucsc.edu/cgi-bin/hgTracks?position=chr6:48255313-48255684", "Go2UCSC")</f>
        <v>Go2UCSC</v>
      </c>
      <c r="H355" s="50">
        <v>4.4833333333333325</v>
      </c>
      <c r="I355" s="50">
        <v>0</v>
      </c>
      <c r="J355" s="51">
        <v>4.4833333333333325</v>
      </c>
      <c r="K355" s="52">
        <v>1</v>
      </c>
      <c r="L355" s="51">
        <v>1.2051971326164872</v>
      </c>
      <c r="M355" s="34">
        <v>2.7733333333333299</v>
      </c>
      <c r="N355" s="34">
        <v>3.5333333333333301</v>
      </c>
      <c r="O355" s="34">
        <v>2.4266666666666699</v>
      </c>
      <c r="P355" s="34">
        <v>9.1999999999999993</v>
      </c>
      <c r="Q355" s="34">
        <v>0</v>
      </c>
      <c r="R355" s="34">
        <v>0</v>
      </c>
      <c r="S355" s="34">
        <v>0</v>
      </c>
      <c r="T355" s="34">
        <v>0</v>
      </c>
    </row>
    <row r="356" spans="1:20" ht="25.5" x14ac:dyDescent="0.2">
      <c r="A356" s="12">
        <v>353</v>
      </c>
      <c r="B356" s="56" t="s">
        <v>69</v>
      </c>
      <c r="C356" s="67" t="s">
        <v>890</v>
      </c>
      <c r="D356" s="48" t="s">
        <v>414</v>
      </c>
      <c r="E356" s="38">
        <v>22023038</v>
      </c>
      <c r="F356" s="39">
        <v>22023109</v>
      </c>
      <c r="G356" s="49" t="str">
        <f>HYPERLINK("http://genome.ucsc.edu/cgi-bin/hgTracks?position=chr13:22022888-22023259", "Go2UCSC")</f>
        <v>Go2UCSC</v>
      </c>
      <c r="H356" s="50">
        <v>4.4766666666666648</v>
      </c>
      <c r="I356" s="50">
        <v>0</v>
      </c>
      <c r="J356" s="51">
        <v>4.4766666666666648</v>
      </c>
      <c r="K356" s="52">
        <v>1</v>
      </c>
      <c r="L356" s="51">
        <v>1.2034050179211464</v>
      </c>
      <c r="M356" s="34">
        <v>5.0533333333333301</v>
      </c>
      <c r="N356" s="34">
        <v>1.8</v>
      </c>
      <c r="O356" s="34">
        <v>6.08</v>
      </c>
      <c r="P356" s="34">
        <v>4.9733333333333301</v>
      </c>
      <c r="Q356" s="34">
        <v>0</v>
      </c>
      <c r="R356" s="34">
        <v>0</v>
      </c>
      <c r="S356" s="34">
        <v>0</v>
      </c>
      <c r="T356" s="34">
        <v>0</v>
      </c>
    </row>
    <row r="357" spans="1:20" x14ac:dyDescent="0.2">
      <c r="A357" s="12">
        <v>354</v>
      </c>
      <c r="B357" s="47" t="s">
        <v>80</v>
      </c>
      <c r="C357" s="65" t="s">
        <v>891</v>
      </c>
      <c r="D357" s="48" t="s">
        <v>179</v>
      </c>
      <c r="E357" s="38">
        <v>48083936</v>
      </c>
      <c r="F357" s="39">
        <v>48084007</v>
      </c>
      <c r="G357" s="49" t="str">
        <f>HYPERLINK("http://genome.ucsc.edu/cgi-bin/hgTracks?position=chr6:48083786-48084157", "Go2UCSC")</f>
        <v>Go2UCSC</v>
      </c>
      <c r="H357" s="50">
        <v>3.6433333333333322</v>
      </c>
      <c r="I357" s="50">
        <v>0.82738095237499998</v>
      </c>
      <c r="J357" s="51">
        <v>4.4707142857083326</v>
      </c>
      <c r="K357" s="52">
        <v>0.8149331629131582</v>
      </c>
      <c r="L357" s="51">
        <v>1.2018049155129926</v>
      </c>
      <c r="M357" s="34">
        <v>6.08</v>
      </c>
      <c r="N357" s="34">
        <v>3.8266666666666698</v>
      </c>
      <c r="O357" s="34">
        <v>1.45333333333333</v>
      </c>
      <c r="P357" s="34">
        <v>3.2133333333333298</v>
      </c>
      <c r="Q357" s="34">
        <v>0.5</v>
      </c>
      <c r="R357" s="34">
        <v>1</v>
      </c>
      <c r="S357" s="34">
        <v>1.3095238094999999</v>
      </c>
      <c r="T357" s="34">
        <v>0.5</v>
      </c>
    </row>
    <row r="358" spans="1:20" x14ac:dyDescent="0.2">
      <c r="A358" s="12">
        <v>355</v>
      </c>
      <c r="B358" s="47" t="s">
        <v>241</v>
      </c>
      <c r="C358" s="65" t="s">
        <v>892</v>
      </c>
      <c r="D358" s="48" t="s">
        <v>127</v>
      </c>
      <c r="E358" s="38">
        <v>32317225</v>
      </c>
      <c r="F358" s="39">
        <v>32317295</v>
      </c>
      <c r="G358" s="49" t="str">
        <f>HYPERLINK("http://genome.ucsc.edu/cgi-bin/hgTracks?position=chr4:32317075-32317445", "Go2UCSC")</f>
        <v>Go2UCSC</v>
      </c>
      <c r="H358" s="50">
        <v>4.3033333333333328</v>
      </c>
      <c r="I358" s="50">
        <v>8.333333334166676E-2</v>
      </c>
      <c r="J358" s="51">
        <v>4.3866666666749996</v>
      </c>
      <c r="K358" s="52">
        <v>0.98100303951181422</v>
      </c>
      <c r="L358" s="51">
        <v>1.1823899371091644</v>
      </c>
      <c r="M358" s="34">
        <v>6.52</v>
      </c>
      <c r="N358" s="34">
        <v>1.44</v>
      </c>
      <c r="O358" s="34">
        <v>1.7333333333333298</v>
      </c>
      <c r="P358" s="34">
        <v>7.52</v>
      </c>
      <c r="Q358" s="34">
        <v>0</v>
      </c>
      <c r="R358" s="34">
        <v>0.16666666666666702</v>
      </c>
      <c r="S358" s="34">
        <v>0</v>
      </c>
      <c r="T358" s="34">
        <v>0.16666666669999999</v>
      </c>
    </row>
    <row r="359" spans="1:20" x14ac:dyDescent="0.2">
      <c r="A359" s="12">
        <v>356</v>
      </c>
      <c r="B359" s="47" t="s">
        <v>361</v>
      </c>
      <c r="C359" s="65" t="s">
        <v>572</v>
      </c>
      <c r="D359" s="48" t="s">
        <v>87</v>
      </c>
      <c r="E359" s="38">
        <v>101421893</v>
      </c>
      <c r="F359" s="39">
        <v>101421964</v>
      </c>
      <c r="G359" s="49" t="str">
        <f>HYPERLINK("http://genome.ucsc.edu/cgi-bin/hgTracks?position=chr5:101421743-101422114", "Go2UCSC")</f>
        <v>Go2UCSC</v>
      </c>
      <c r="H359" s="50">
        <v>4.1866666666666674</v>
      </c>
      <c r="I359" s="50">
        <v>0.14999999999999974</v>
      </c>
      <c r="J359" s="51">
        <v>4.3366666666666669</v>
      </c>
      <c r="K359" s="52">
        <v>0.96541122213681796</v>
      </c>
      <c r="L359" s="51">
        <v>1.1657706093189966</v>
      </c>
      <c r="M359" s="34">
        <v>2.0266666666666699</v>
      </c>
      <c r="N359" s="34">
        <v>6.9733333333333301</v>
      </c>
      <c r="O359" s="34">
        <v>3.04</v>
      </c>
      <c r="P359" s="34">
        <v>4.7066666666666697</v>
      </c>
      <c r="Q359" s="34">
        <v>0.39999999999999902</v>
      </c>
      <c r="R359" s="34">
        <v>0</v>
      </c>
      <c r="S359" s="34">
        <v>0.2</v>
      </c>
      <c r="T359" s="34">
        <v>0</v>
      </c>
    </row>
    <row r="360" spans="1:20" x14ac:dyDescent="0.2">
      <c r="A360" s="12">
        <v>357</v>
      </c>
      <c r="B360" s="47" t="s">
        <v>439</v>
      </c>
      <c r="C360" s="65" t="s">
        <v>573</v>
      </c>
      <c r="D360" s="48" t="s">
        <v>179</v>
      </c>
      <c r="E360" s="38">
        <v>48238875</v>
      </c>
      <c r="F360" s="39">
        <v>48238946</v>
      </c>
      <c r="G360" s="49" t="str">
        <f>HYPERLINK("http://genome.ucsc.edu/cgi-bin/hgTracks?position=chr6:48238725-48239096", "Go2UCSC")</f>
        <v>Go2UCSC</v>
      </c>
      <c r="H360" s="50">
        <v>4.2900000000000027</v>
      </c>
      <c r="I360" s="50">
        <v>0</v>
      </c>
      <c r="J360" s="51">
        <v>4.2900000000000027</v>
      </c>
      <c r="K360" s="52">
        <v>1</v>
      </c>
      <c r="L360" s="51">
        <v>1.1532258064516137</v>
      </c>
      <c r="M360" s="34">
        <v>2.0266666666666699</v>
      </c>
      <c r="N360" s="34">
        <v>5.9466666666666699</v>
      </c>
      <c r="O360" s="34">
        <v>6.5066666666666704</v>
      </c>
      <c r="P360" s="34">
        <v>2.68</v>
      </c>
      <c r="Q360" s="34">
        <v>0</v>
      </c>
      <c r="R360" s="34">
        <v>0</v>
      </c>
      <c r="S360" s="34">
        <v>0</v>
      </c>
      <c r="T360" s="34">
        <v>0</v>
      </c>
    </row>
    <row r="361" spans="1:20" x14ac:dyDescent="0.2">
      <c r="A361" s="12">
        <v>358</v>
      </c>
      <c r="B361" s="47" t="s">
        <v>448</v>
      </c>
      <c r="C361" s="65" t="s">
        <v>574</v>
      </c>
      <c r="D361" s="48" t="s">
        <v>127</v>
      </c>
      <c r="E361" s="38">
        <v>138986421</v>
      </c>
      <c r="F361" s="39">
        <v>138986492</v>
      </c>
      <c r="G361" s="49" t="str">
        <f>HYPERLINK("http://genome.ucsc.edu/cgi-bin/hgTracks?position=chr4:138986271-138986642", "Go2UCSC")</f>
        <v>Go2UCSC</v>
      </c>
      <c r="H361" s="50">
        <v>4.2799999999999976</v>
      </c>
      <c r="I361" s="50">
        <v>0</v>
      </c>
      <c r="J361" s="51">
        <v>4.2799999999999976</v>
      </c>
      <c r="K361" s="52">
        <v>1</v>
      </c>
      <c r="L361" s="51">
        <v>1.1505376344086016</v>
      </c>
      <c r="M361" s="34">
        <v>2.7733333333333299</v>
      </c>
      <c r="N361" s="34">
        <v>3.12</v>
      </c>
      <c r="O361" s="34">
        <v>5.89333333333333</v>
      </c>
      <c r="P361" s="34">
        <v>5.3333333333333304</v>
      </c>
      <c r="Q361" s="34">
        <v>0</v>
      </c>
      <c r="R361" s="34">
        <v>0</v>
      </c>
      <c r="S361" s="34">
        <v>0</v>
      </c>
      <c r="T361" s="34">
        <v>0</v>
      </c>
    </row>
    <row r="362" spans="1:20" x14ac:dyDescent="0.2">
      <c r="A362" s="12">
        <v>359</v>
      </c>
      <c r="B362" s="47" t="s">
        <v>290</v>
      </c>
      <c r="C362" s="65" t="s">
        <v>575</v>
      </c>
      <c r="D362" s="48" t="s">
        <v>127</v>
      </c>
      <c r="E362" s="38">
        <v>131681174</v>
      </c>
      <c r="F362" s="39">
        <v>131681245</v>
      </c>
      <c r="G362" s="49" t="str">
        <f>HYPERLINK("http://genome.ucsc.edu/cgi-bin/hgTracks?position=chr4:131681024-131681395", "Go2UCSC")</f>
        <v>Go2UCSC</v>
      </c>
      <c r="H362" s="50">
        <v>4.2766666666666673</v>
      </c>
      <c r="I362" s="50">
        <v>2.0659124649122801E-4</v>
      </c>
      <c r="J362" s="51">
        <v>4.2768732579131585</v>
      </c>
      <c r="K362" s="52">
        <v>0.99995169572862397</v>
      </c>
      <c r="L362" s="51">
        <v>1.149697112342247</v>
      </c>
      <c r="M362" s="34">
        <v>5.06666666666667</v>
      </c>
      <c r="N362" s="34">
        <v>4.0533333333333301</v>
      </c>
      <c r="O362" s="34">
        <v>2.92</v>
      </c>
      <c r="P362" s="34">
        <v>5.06666666666667</v>
      </c>
      <c r="Q362" s="34">
        <v>7.0175438596491201E-4</v>
      </c>
      <c r="R362" s="34">
        <v>0</v>
      </c>
      <c r="S362" s="34">
        <v>1.246106E-4</v>
      </c>
      <c r="T362" s="34">
        <v>0</v>
      </c>
    </row>
    <row r="363" spans="1:20" x14ac:dyDescent="0.2">
      <c r="A363" s="12">
        <v>360</v>
      </c>
      <c r="B363" s="55" t="s">
        <v>302</v>
      </c>
      <c r="C363" s="66" t="s">
        <v>576</v>
      </c>
      <c r="D363" s="48" t="s">
        <v>179</v>
      </c>
      <c r="E363" s="38">
        <v>135217793</v>
      </c>
      <c r="F363" s="39">
        <v>135217866</v>
      </c>
      <c r="G363" s="49" t="str">
        <f>HYPERLINK("http://genome.ucsc.edu/cgi-bin/hgTracks?position=chr6:135217643-135218016", "Go2UCSC")</f>
        <v>Go2UCSC</v>
      </c>
      <c r="H363" s="50">
        <v>4.0733333333333359</v>
      </c>
      <c r="I363" s="50">
        <v>0.16324642673284673</v>
      </c>
      <c r="J363" s="51">
        <v>4.2365797600661823</v>
      </c>
      <c r="K363" s="52">
        <v>0.96146740154130927</v>
      </c>
      <c r="L363" s="51">
        <v>1.1327753369160916</v>
      </c>
      <c r="M363" s="34">
        <v>0.85333333333333306</v>
      </c>
      <c r="N363" s="34">
        <v>3.9466666666666699</v>
      </c>
      <c r="O363" s="34">
        <v>2.0266666666666699</v>
      </c>
      <c r="P363" s="34">
        <v>9.4666666666666703</v>
      </c>
      <c r="Q363" s="34">
        <v>0.21331688057611101</v>
      </c>
      <c r="R363" s="34">
        <v>3.90237226552759E-2</v>
      </c>
      <c r="S363" s="34">
        <v>0.12972341679999999</v>
      </c>
      <c r="T363" s="34">
        <v>0.27092168690000001</v>
      </c>
    </row>
    <row r="364" spans="1:20" x14ac:dyDescent="0.2">
      <c r="A364" s="12">
        <v>361</v>
      </c>
      <c r="B364" s="47" t="s">
        <v>444</v>
      </c>
      <c r="C364" s="65" t="s">
        <v>577</v>
      </c>
      <c r="D364" s="48" t="s">
        <v>252</v>
      </c>
      <c r="E364" s="38">
        <v>96115177</v>
      </c>
      <c r="F364" s="39">
        <v>96115247</v>
      </c>
      <c r="G364" s="49" t="str">
        <f>HYPERLINK("http://genome.ucsc.edu/cgi-bin/hgTracks?position=chr3:96115027-96115397", "Go2UCSC")</f>
        <v>Go2UCSC</v>
      </c>
      <c r="H364" s="50">
        <v>4.1099999999999994</v>
      </c>
      <c r="I364" s="50">
        <v>0</v>
      </c>
      <c r="J364" s="51">
        <v>4.1099999999999994</v>
      </c>
      <c r="K364" s="52">
        <v>1</v>
      </c>
      <c r="L364" s="51">
        <v>1.1078167115902964</v>
      </c>
      <c r="M364" s="34">
        <v>2.0266666666666699</v>
      </c>
      <c r="N364" s="34">
        <v>4.8133333333333299</v>
      </c>
      <c r="O364" s="34">
        <v>4.3600000000000003</v>
      </c>
      <c r="P364" s="34">
        <v>5.24</v>
      </c>
      <c r="Q364" s="34">
        <v>0</v>
      </c>
      <c r="R364" s="34">
        <v>0</v>
      </c>
      <c r="S364" s="34">
        <v>0</v>
      </c>
      <c r="T364" s="34">
        <v>0</v>
      </c>
    </row>
    <row r="365" spans="1:20" ht="25.5" x14ac:dyDescent="0.2">
      <c r="A365" s="12">
        <v>362</v>
      </c>
      <c r="B365" s="55" t="s">
        <v>216</v>
      </c>
      <c r="C365" s="66" t="s">
        <v>578</v>
      </c>
      <c r="D365" s="48" t="s">
        <v>88</v>
      </c>
      <c r="E365" s="38">
        <v>100399472</v>
      </c>
      <c r="F365" s="39">
        <v>100399544</v>
      </c>
      <c r="G365" s="49" t="str">
        <f>HYPERLINK("http://genome.ucsc.edu/cgi-bin/hgTracks?position=chr11:100399322-100399694", "Go2UCSC")</f>
        <v>Go2UCSC</v>
      </c>
      <c r="H365" s="50">
        <v>4.1266666666666669</v>
      </c>
      <c r="I365" s="50">
        <v>0</v>
      </c>
      <c r="J365" s="51">
        <v>4.1266666666666669</v>
      </c>
      <c r="K365" s="52">
        <v>1</v>
      </c>
      <c r="L365" s="51">
        <v>1.1063449508489724</v>
      </c>
      <c r="M365" s="34">
        <v>4.28</v>
      </c>
      <c r="N365" s="34">
        <v>1.86666666666667</v>
      </c>
      <c r="O365" s="34">
        <v>5.89333333333333</v>
      </c>
      <c r="P365" s="34">
        <v>4.4666666666666703</v>
      </c>
      <c r="Q365" s="34">
        <v>0</v>
      </c>
      <c r="R365" s="34">
        <v>0</v>
      </c>
      <c r="S365" s="34">
        <v>0</v>
      </c>
      <c r="T365" s="34">
        <v>0</v>
      </c>
    </row>
    <row r="366" spans="1:20" ht="25.5" x14ac:dyDescent="0.2">
      <c r="A366" s="12">
        <v>363</v>
      </c>
      <c r="B366" s="47" t="s">
        <v>283</v>
      </c>
      <c r="C366" s="65" t="s">
        <v>579</v>
      </c>
      <c r="D366" s="48" t="s">
        <v>204</v>
      </c>
      <c r="E366" s="38">
        <v>59208131</v>
      </c>
      <c r="F366" s="39">
        <v>59208203</v>
      </c>
      <c r="G366" s="49" t="str">
        <f>HYPERLINK("http://genome.ucsc.edu/cgi-bin/hgTracks?position=chr17:59207981-59208353", "Go2UCSC")</f>
        <v>Go2UCSC</v>
      </c>
      <c r="H366" s="50">
        <v>4.1133333333333324</v>
      </c>
      <c r="I366" s="50">
        <v>0</v>
      </c>
      <c r="J366" s="51">
        <v>4.1133333333333324</v>
      </c>
      <c r="K366" s="52">
        <v>1</v>
      </c>
      <c r="L366" s="51">
        <v>1.102770330652368</v>
      </c>
      <c r="M366" s="34">
        <v>3.4933333333333301</v>
      </c>
      <c r="N366" s="34">
        <v>3.04</v>
      </c>
      <c r="O366" s="34">
        <v>2.8533333333333299</v>
      </c>
      <c r="P366" s="34">
        <v>7.06666666666667</v>
      </c>
      <c r="Q366" s="34">
        <v>0</v>
      </c>
      <c r="R366" s="34">
        <v>0</v>
      </c>
      <c r="S366" s="34">
        <v>0</v>
      </c>
      <c r="T366" s="34">
        <v>0</v>
      </c>
    </row>
    <row r="367" spans="1:20" x14ac:dyDescent="0.2">
      <c r="A367" s="12">
        <v>364</v>
      </c>
      <c r="B367" s="47" t="s">
        <v>239</v>
      </c>
      <c r="C367" s="65" t="s">
        <v>580</v>
      </c>
      <c r="D367" s="48" t="s">
        <v>127</v>
      </c>
      <c r="E367" s="38">
        <v>27831926</v>
      </c>
      <c r="F367" s="39">
        <v>27831999</v>
      </c>
      <c r="G367" s="49" t="str">
        <f>HYPERLINK("http://genome.ucsc.edu/cgi-bin/hgTracks?position=chr4:27831776-27832149", "Go2UCSC")</f>
        <v>Go2UCSC</v>
      </c>
      <c r="H367" s="50">
        <v>4.0533333333333328</v>
      </c>
      <c r="I367" s="50">
        <v>0</v>
      </c>
      <c r="J367" s="51">
        <v>4.0533333333333328</v>
      </c>
      <c r="K367" s="52">
        <v>1</v>
      </c>
      <c r="L367" s="51">
        <v>1.0837789661319071</v>
      </c>
      <c r="M367" s="34">
        <v>1.0133333333333301</v>
      </c>
      <c r="N367" s="34">
        <v>5.06666666666667</v>
      </c>
      <c r="O367" s="34">
        <v>3.04</v>
      </c>
      <c r="P367" s="34">
        <v>7.0933333333333302</v>
      </c>
      <c r="Q367" s="34">
        <v>0</v>
      </c>
      <c r="R367" s="34">
        <v>0</v>
      </c>
      <c r="S367" s="34">
        <v>0</v>
      </c>
      <c r="T367" s="34">
        <v>0</v>
      </c>
    </row>
    <row r="368" spans="1:20" ht="25.5" x14ac:dyDescent="0.2">
      <c r="A368" s="12">
        <v>365</v>
      </c>
      <c r="B368" s="47" t="s">
        <v>79</v>
      </c>
      <c r="C368" s="65" t="s">
        <v>581</v>
      </c>
      <c r="D368" s="48" t="s">
        <v>92</v>
      </c>
      <c r="E368" s="38">
        <v>47250659</v>
      </c>
      <c r="F368" s="39">
        <v>47250731</v>
      </c>
      <c r="G368" s="49" t="str">
        <f>HYPERLINK("http://genome.ucsc.edu/cgi-bin/hgTracks?position=chr16:47250509-47250881", "Go2UCSC")</f>
        <v>Go2UCSC</v>
      </c>
      <c r="H368" s="50">
        <v>4.04</v>
      </c>
      <c r="I368" s="50">
        <v>0</v>
      </c>
      <c r="J368" s="51">
        <v>4.04</v>
      </c>
      <c r="K368" s="52">
        <v>1</v>
      </c>
      <c r="L368" s="51">
        <v>1.0831099195710456</v>
      </c>
      <c r="M368" s="34">
        <v>5.16</v>
      </c>
      <c r="N368" s="34">
        <v>0.84</v>
      </c>
      <c r="O368" s="34">
        <v>5.06666666666667</v>
      </c>
      <c r="P368" s="34">
        <v>5.0933333333333302</v>
      </c>
      <c r="Q368" s="34">
        <v>0</v>
      </c>
      <c r="R368" s="34">
        <v>0</v>
      </c>
      <c r="S368" s="34">
        <v>0</v>
      </c>
      <c r="T368" s="34">
        <v>0</v>
      </c>
    </row>
    <row r="369" spans="1:20" x14ac:dyDescent="0.2">
      <c r="A369" s="12">
        <v>366</v>
      </c>
      <c r="B369" s="47" t="s">
        <v>498</v>
      </c>
      <c r="C369" s="65" t="s">
        <v>582</v>
      </c>
      <c r="D369" s="48" t="s">
        <v>179</v>
      </c>
      <c r="E369" s="38">
        <v>48228791</v>
      </c>
      <c r="F369" s="39">
        <v>48228862</v>
      </c>
      <c r="G369" s="49" t="str">
        <f>HYPERLINK("http://genome.ucsc.edu/cgi-bin/hgTracks?position=chr6:48228641-48229012", "Go2UCSC")</f>
        <v>Go2UCSC</v>
      </c>
      <c r="H369" s="50">
        <v>3.8400000000000016</v>
      </c>
      <c r="I369" s="50">
        <v>0</v>
      </c>
      <c r="J369" s="51">
        <v>3.8400000000000016</v>
      </c>
      <c r="K369" s="52">
        <v>1</v>
      </c>
      <c r="L369" s="51">
        <v>1.0322580645161294</v>
      </c>
      <c r="M369" s="34">
        <v>3.4266666666666699</v>
      </c>
      <c r="N369" s="34">
        <v>1.9866666666666699</v>
      </c>
      <c r="O369" s="34">
        <v>0.8266666666666671</v>
      </c>
      <c r="P369" s="34">
        <v>9.1199999999999992</v>
      </c>
      <c r="Q369" s="34">
        <v>0</v>
      </c>
      <c r="R369" s="34">
        <v>0</v>
      </c>
      <c r="S369" s="34">
        <v>0</v>
      </c>
      <c r="T369" s="34">
        <v>0</v>
      </c>
    </row>
    <row r="370" spans="1:20" x14ac:dyDescent="0.2">
      <c r="A370" s="12">
        <v>367</v>
      </c>
      <c r="B370" s="47" t="s">
        <v>145</v>
      </c>
      <c r="C370" s="65" t="s">
        <v>583</v>
      </c>
      <c r="D370" s="48" t="s">
        <v>179</v>
      </c>
      <c r="E370" s="38">
        <v>48258728</v>
      </c>
      <c r="F370" s="39">
        <v>48258799</v>
      </c>
      <c r="G370" s="49" t="str">
        <f>HYPERLINK("http://genome.ucsc.edu/cgi-bin/hgTracks?position=chr6:48258578-48258949", "Go2UCSC")</f>
        <v>Go2UCSC</v>
      </c>
      <c r="H370" s="50">
        <v>3.3066666666666671</v>
      </c>
      <c r="I370" s="50">
        <v>0.53166666666666673</v>
      </c>
      <c r="J370" s="51">
        <v>3.8383333333333338</v>
      </c>
      <c r="K370" s="52">
        <v>0.86148501953973078</v>
      </c>
      <c r="L370" s="51">
        <v>1.0318100358422939</v>
      </c>
      <c r="M370" s="34">
        <v>2.58666666666667</v>
      </c>
      <c r="N370" s="34">
        <v>2.96</v>
      </c>
      <c r="O370" s="34">
        <v>6.6666666666666696</v>
      </c>
      <c r="P370" s="34">
        <v>1.0133333333333301</v>
      </c>
      <c r="Q370" s="34">
        <v>1.54</v>
      </c>
      <c r="R370" s="34">
        <v>0.18666666666666701</v>
      </c>
      <c r="S370" s="34">
        <v>0.4</v>
      </c>
      <c r="T370" s="34">
        <v>0</v>
      </c>
    </row>
    <row r="371" spans="1:20" ht="25.5" x14ac:dyDescent="0.2">
      <c r="A371" s="12">
        <v>368</v>
      </c>
      <c r="B371" s="47" t="s">
        <v>217</v>
      </c>
      <c r="C371" s="65" t="s">
        <v>584</v>
      </c>
      <c r="D371" s="48" t="s">
        <v>414</v>
      </c>
      <c r="E371" s="38">
        <v>23592391</v>
      </c>
      <c r="F371" s="39">
        <v>23592463</v>
      </c>
      <c r="G371" s="49" t="str">
        <f>HYPERLINK("http://genome.ucsc.edu/cgi-bin/hgTracks?position=chr13:23592241-23592613", "Go2UCSC")</f>
        <v>Go2UCSC</v>
      </c>
      <c r="H371" s="50">
        <v>3.7966666666666677</v>
      </c>
      <c r="I371" s="50">
        <v>0</v>
      </c>
      <c r="J371" s="51">
        <v>3.7966666666666677</v>
      </c>
      <c r="K371" s="52">
        <v>1</v>
      </c>
      <c r="L371" s="51">
        <v>1.0178731009830209</v>
      </c>
      <c r="M371" s="34">
        <v>3.12</v>
      </c>
      <c r="N371" s="34">
        <v>2.0266666666666699</v>
      </c>
      <c r="O371" s="34">
        <v>5.06666666666667</v>
      </c>
      <c r="P371" s="34">
        <v>4.9733333333333301</v>
      </c>
      <c r="Q371" s="34">
        <v>0</v>
      </c>
      <c r="R371" s="34">
        <v>0</v>
      </c>
      <c r="S371" s="34">
        <v>0</v>
      </c>
      <c r="T371" s="34">
        <v>0</v>
      </c>
    </row>
    <row r="372" spans="1:20" x14ac:dyDescent="0.2">
      <c r="A372" s="12">
        <v>369</v>
      </c>
      <c r="B372" s="47" t="s">
        <v>318</v>
      </c>
      <c r="C372" s="65" t="s">
        <v>585</v>
      </c>
      <c r="D372" s="48" t="s">
        <v>179</v>
      </c>
      <c r="E372" s="38">
        <v>48305854</v>
      </c>
      <c r="F372" s="39">
        <v>48305925</v>
      </c>
      <c r="G372" s="49" t="str">
        <f>HYPERLINK("http://genome.ucsc.edu/cgi-bin/hgTracks?position=chr6:48305704-48306075", "Go2UCSC")</f>
        <v>Go2UCSC</v>
      </c>
      <c r="H372" s="50">
        <v>1.4466666666666665</v>
      </c>
      <c r="I372" s="50">
        <v>2.2632142857083326</v>
      </c>
      <c r="J372" s="51">
        <v>3.7098809523749994</v>
      </c>
      <c r="K372" s="52">
        <v>0.38994961974198566</v>
      </c>
      <c r="L372" s="51">
        <v>0.99727982590725783</v>
      </c>
      <c r="M372" s="34">
        <v>9.3333333333333296E-2</v>
      </c>
      <c r="N372" s="34">
        <v>0.25333333333333302</v>
      </c>
      <c r="O372" s="34">
        <v>2.4</v>
      </c>
      <c r="P372" s="34">
        <v>3.04</v>
      </c>
      <c r="Q372" s="34">
        <v>2.3866666666666601</v>
      </c>
      <c r="R372" s="34">
        <v>1.0266666666666699</v>
      </c>
      <c r="S372" s="34">
        <v>3.0461904762000001</v>
      </c>
      <c r="T372" s="34">
        <v>2.5933333332999999</v>
      </c>
    </row>
    <row r="373" spans="1:20" x14ac:dyDescent="0.2">
      <c r="A373" s="12">
        <v>370</v>
      </c>
      <c r="B373" s="47" t="s">
        <v>311</v>
      </c>
      <c r="C373" s="65" t="s">
        <v>586</v>
      </c>
      <c r="D373" s="48" t="s">
        <v>179</v>
      </c>
      <c r="E373" s="38">
        <v>48282839</v>
      </c>
      <c r="F373" s="39">
        <v>48282910</v>
      </c>
      <c r="G373" s="49" t="str">
        <f>HYPERLINK("http://genome.ucsc.edu/cgi-bin/hgTracks?position=chr6:48282689-48283060", "Go2UCSC")</f>
        <v>Go2UCSC</v>
      </c>
      <c r="H373" s="50">
        <v>3.6100000000000003</v>
      </c>
      <c r="I373" s="50">
        <v>9.3333333333333504E-2</v>
      </c>
      <c r="J373" s="51">
        <v>3.703333333333334</v>
      </c>
      <c r="K373" s="52">
        <v>0.9747974797479747</v>
      </c>
      <c r="L373" s="51">
        <v>0.99551971326164901</v>
      </c>
      <c r="M373" s="34">
        <v>3.04</v>
      </c>
      <c r="N373" s="34">
        <v>4.0533333333333301</v>
      </c>
      <c r="O373" s="34">
        <v>2.3066666666666702</v>
      </c>
      <c r="P373" s="34">
        <v>5.04</v>
      </c>
      <c r="Q373" s="34">
        <v>0</v>
      </c>
      <c r="R373" s="34">
        <v>0.33333333333333404</v>
      </c>
      <c r="S373" s="34">
        <v>0</v>
      </c>
      <c r="T373" s="34">
        <v>0.04</v>
      </c>
    </row>
    <row r="374" spans="1:20" x14ac:dyDescent="0.2">
      <c r="A374" s="12">
        <v>371</v>
      </c>
      <c r="B374" s="47" t="s">
        <v>303</v>
      </c>
      <c r="C374" s="65" t="s">
        <v>587</v>
      </c>
      <c r="D374" s="48" t="s">
        <v>179</v>
      </c>
      <c r="E374" s="38">
        <v>48211721</v>
      </c>
      <c r="F374" s="39">
        <v>48211792</v>
      </c>
      <c r="G374" s="49" t="str">
        <f>HYPERLINK("http://genome.ucsc.edu/cgi-bin/hgTracks?position=chr6:48211571-48211942", "Go2UCSC")</f>
        <v>Go2UCSC</v>
      </c>
      <c r="H374" s="50">
        <v>3.6366666666666676</v>
      </c>
      <c r="I374" s="50">
        <v>0</v>
      </c>
      <c r="J374" s="51">
        <v>3.6366666666666676</v>
      </c>
      <c r="K374" s="52">
        <v>1</v>
      </c>
      <c r="L374" s="51">
        <v>0.97759856630824393</v>
      </c>
      <c r="M374" s="34">
        <v>4.3866666666666703</v>
      </c>
      <c r="N374" s="34">
        <v>2.52</v>
      </c>
      <c r="O374" s="34">
        <v>5.36</v>
      </c>
      <c r="P374" s="34">
        <v>2.2800000000000002</v>
      </c>
      <c r="Q374" s="34">
        <v>0</v>
      </c>
      <c r="R374" s="34">
        <v>0</v>
      </c>
      <c r="S374" s="34">
        <v>0</v>
      </c>
      <c r="T374" s="34">
        <v>0</v>
      </c>
    </row>
    <row r="375" spans="1:20" x14ac:dyDescent="0.2">
      <c r="A375" s="12">
        <v>372</v>
      </c>
      <c r="B375" s="47" t="s">
        <v>291</v>
      </c>
      <c r="C375" s="65" t="s">
        <v>588</v>
      </c>
      <c r="D375" s="48" t="s">
        <v>127</v>
      </c>
      <c r="E375" s="38">
        <v>132071923</v>
      </c>
      <c r="F375" s="39">
        <v>132071994</v>
      </c>
      <c r="G375" s="49" t="str">
        <f>HYPERLINK("http://genome.ucsc.edu/cgi-bin/hgTracks?position=chr4:132071773-132072144", "Go2UCSC")</f>
        <v>Go2UCSC</v>
      </c>
      <c r="H375" s="50">
        <v>3.43</v>
      </c>
      <c r="I375" s="50">
        <v>0.18270607263535626</v>
      </c>
      <c r="J375" s="51">
        <v>3.6127060726353561</v>
      </c>
      <c r="K375" s="52">
        <v>0.94942680944368163</v>
      </c>
      <c r="L375" s="51">
        <v>0.97115754640735386</v>
      </c>
      <c r="M375" s="34">
        <v>3.04</v>
      </c>
      <c r="N375" s="34">
        <v>2.0266666666666699</v>
      </c>
      <c r="O375" s="34">
        <v>4.8133333333333299</v>
      </c>
      <c r="P375" s="34">
        <v>3.84</v>
      </c>
      <c r="Q375" s="34">
        <v>0.15270010778399201</v>
      </c>
      <c r="R375" s="34">
        <v>0.16796051215743302</v>
      </c>
      <c r="S375" s="34">
        <v>0.22827427720000001</v>
      </c>
      <c r="T375" s="34">
        <v>0.18188939340000002</v>
      </c>
    </row>
    <row r="376" spans="1:20" x14ac:dyDescent="0.2">
      <c r="A376" s="12">
        <v>373</v>
      </c>
      <c r="B376" s="47" t="s">
        <v>310</v>
      </c>
      <c r="C376" s="65" t="s">
        <v>589</v>
      </c>
      <c r="D376" s="48" t="s">
        <v>179</v>
      </c>
      <c r="E376" s="38">
        <v>48267514</v>
      </c>
      <c r="F376" s="39">
        <v>48267585</v>
      </c>
      <c r="G376" s="49" t="str">
        <f>HYPERLINK("http://genome.ucsc.edu/cgi-bin/hgTracks?position=chr6:48267364-48267735", "Go2UCSC")</f>
        <v>Go2UCSC</v>
      </c>
      <c r="H376" s="50">
        <v>2.2800000000000002</v>
      </c>
      <c r="I376" s="50">
        <v>1.2807142857333327</v>
      </c>
      <c r="J376" s="51">
        <v>3.5607142857333329</v>
      </c>
      <c r="K376" s="52">
        <v>0.64032096288524087</v>
      </c>
      <c r="L376" s="51">
        <v>0.95718125960573464</v>
      </c>
      <c r="M376" s="34">
        <v>2.93333333333333</v>
      </c>
      <c r="N376" s="34">
        <v>1.30666666666667</v>
      </c>
      <c r="O376" s="34">
        <v>3.04</v>
      </c>
      <c r="P376" s="34">
        <v>1.84</v>
      </c>
      <c r="Q376" s="34">
        <v>2.0933333333333302</v>
      </c>
      <c r="R376" s="34">
        <v>0.5</v>
      </c>
      <c r="S376" s="34">
        <v>1.6428571429000001</v>
      </c>
      <c r="T376" s="34">
        <v>0.88666666670000005</v>
      </c>
    </row>
    <row r="377" spans="1:20" x14ac:dyDescent="0.2">
      <c r="A377" s="12">
        <v>374</v>
      </c>
      <c r="B377" s="47" t="s">
        <v>281</v>
      </c>
      <c r="C377" s="65" t="s">
        <v>590</v>
      </c>
      <c r="D377" s="48" t="s">
        <v>179</v>
      </c>
      <c r="E377" s="38">
        <v>48202102</v>
      </c>
      <c r="F377" s="39">
        <v>48202173</v>
      </c>
      <c r="G377" s="49" t="str">
        <f>HYPERLINK("http://genome.ucsc.edu/cgi-bin/hgTracks?position=chr6:48201952-48202323", "Go2UCSC")</f>
        <v>Go2UCSC</v>
      </c>
      <c r="H377" s="50">
        <v>3.4933333333333323</v>
      </c>
      <c r="I377" s="50">
        <v>3.5714285725000003E-2</v>
      </c>
      <c r="J377" s="51">
        <v>3.5290476190583324</v>
      </c>
      <c r="K377" s="52">
        <v>0.98987990824149608</v>
      </c>
      <c r="L377" s="51">
        <v>0.94866871480062698</v>
      </c>
      <c r="M377" s="34">
        <v>4.8266666666666698</v>
      </c>
      <c r="N377" s="34">
        <v>0</v>
      </c>
      <c r="O377" s="34">
        <v>4.2133333333333303</v>
      </c>
      <c r="P377" s="34">
        <v>4.93333333333333</v>
      </c>
      <c r="Q377" s="34">
        <v>0</v>
      </c>
      <c r="R377" s="34">
        <v>0</v>
      </c>
      <c r="S377" s="34">
        <v>0.14285714290000001</v>
      </c>
      <c r="T377" s="34">
        <v>0</v>
      </c>
    </row>
    <row r="378" spans="1:20" ht="25.5" x14ac:dyDescent="0.2">
      <c r="A378" s="12">
        <v>375</v>
      </c>
      <c r="B378" s="47" t="s">
        <v>354</v>
      </c>
      <c r="C378" s="65" t="s">
        <v>591</v>
      </c>
      <c r="D378" s="48" t="s">
        <v>92</v>
      </c>
      <c r="E378" s="38">
        <v>75434424</v>
      </c>
      <c r="F378" s="39">
        <v>75434497</v>
      </c>
      <c r="G378" s="49" t="str">
        <f>HYPERLINK("http://genome.ucsc.edu/cgi-bin/hgTracks?position=chr16:75434274-75434647", "Go2UCSC")</f>
        <v>Go2UCSC</v>
      </c>
      <c r="H378" s="50">
        <v>3.5466666666666677</v>
      </c>
      <c r="I378" s="50">
        <v>0</v>
      </c>
      <c r="J378" s="51">
        <v>3.5466666666666677</v>
      </c>
      <c r="K378" s="52">
        <v>1</v>
      </c>
      <c r="L378" s="51">
        <v>0.94830659536541928</v>
      </c>
      <c r="M378" s="34">
        <v>2.0266666666666699</v>
      </c>
      <c r="N378" s="34">
        <v>6.08</v>
      </c>
      <c r="O378" s="34">
        <v>2.0266666666666699</v>
      </c>
      <c r="P378" s="34">
        <v>4.0533333333333301</v>
      </c>
      <c r="Q378" s="34">
        <v>0</v>
      </c>
      <c r="R378" s="34">
        <v>0</v>
      </c>
      <c r="S378" s="34">
        <v>0</v>
      </c>
      <c r="T378" s="34">
        <v>0</v>
      </c>
    </row>
    <row r="379" spans="1:20" x14ac:dyDescent="0.2">
      <c r="A379" s="12">
        <v>376</v>
      </c>
      <c r="B379" s="47" t="s">
        <v>358</v>
      </c>
      <c r="C379" s="65" t="s">
        <v>592</v>
      </c>
      <c r="D379" s="48" t="s">
        <v>255</v>
      </c>
      <c r="E379" s="38">
        <v>82433177</v>
      </c>
      <c r="F379" s="39">
        <v>82433249</v>
      </c>
      <c r="G379" s="49" t="str">
        <f>HYPERLINK("http://genome.ucsc.edu/cgi-bin/hgTracks?position=chr8:82433027-82433399", "Go2UCSC")</f>
        <v>Go2UCSC</v>
      </c>
      <c r="H379" s="50">
        <v>3.4499999999999993</v>
      </c>
      <c r="I379" s="50">
        <v>0</v>
      </c>
      <c r="J379" s="51">
        <v>3.4499999999999993</v>
      </c>
      <c r="K379" s="52">
        <v>1</v>
      </c>
      <c r="L379" s="51">
        <v>0.92493297587131351</v>
      </c>
      <c r="M379" s="34">
        <v>0.66666666666666707</v>
      </c>
      <c r="N379" s="34">
        <v>3.54666666666667</v>
      </c>
      <c r="O379" s="34">
        <v>2.8533333333333299</v>
      </c>
      <c r="P379" s="34">
        <v>6.7333333333333298</v>
      </c>
      <c r="Q379" s="34">
        <v>0</v>
      </c>
      <c r="R379" s="34">
        <v>0</v>
      </c>
      <c r="S379" s="34">
        <v>0</v>
      </c>
      <c r="T379" s="34">
        <v>0</v>
      </c>
    </row>
    <row r="380" spans="1:20" x14ac:dyDescent="0.2">
      <c r="A380" s="12">
        <v>377</v>
      </c>
      <c r="B380" s="47" t="s">
        <v>356</v>
      </c>
      <c r="C380" s="65" t="s">
        <v>593</v>
      </c>
      <c r="D380" s="48" t="s">
        <v>30</v>
      </c>
      <c r="E380" s="38">
        <v>78294370</v>
      </c>
      <c r="F380" s="39">
        <v>78294441</v>
      </c>
      <c r="G380" s="49" t="str">
        <f>HYPERLINK("http://genome.ucsc.edu/cgi-bin/hgTracks?position=chr1:78294220-78294591", "Go2UCSC")</f>
        <v>Go2UCSC</v>
      </c>
      <c r="H380" s="50">
        <v>3.4166666666666652</v>
      </c>
      <c r="I380" s="50">
        <v>0</v>
      </c>
      <c r="J380" s="51">
        <v>3.4166666666666652</v>
      </c>
      <c r="K380" s="52">
        <v>1</v>
      </c>
      <c r="L380" s="51">
        <v>0.91845878136200676</v>
      </c>
      <c r="M380" s="34">
        <v>5.84</v>
      </c>
      <c r="N380" s="34">
        <v>2.1733333333333302</v>
      </c>
      <c r="O380" s="34">
        <v>3.04</v>
      </c>
      <c r="P380" s="34">
        <v>2.6133333333333297</v>
      </c>
      <c r="Q380" s="34">
        <v>0</v>
      </c>
      <c r="R380" s="34">
        <v>0</v>
      </c>
      <c r="S380" s="34">
        <v>0</v>
      </c>
      <c r="T380" s="34">
        <v>0</v>
      </c>
    </row>
    <row r="381" spans="1:20" x14ac:dyDescent="0.2">
      <c r="A381" s="12">
        <v>378</v>
      </c>
      <c r="B381" s="47" t="s">
        <v>220</v>
      </c>
      <c r="C381" s="65" t="s">
        <v>594</v>
      </c>
      <c r="D381" s="48" t="s">
        <v>30</v>
      </c>
      <c r="E381" s="38">
        <v>112801324</v>
      </c>
      <c r="F381" s="39">
        <v>112801396</v>
      </c>
      <c r="G381" s="49" t="str">
        <f>HYPERLINK("http://genome.ucsc.edu/cgi-bin/hgTracks?position=chr1:112801174-112801546", "Go2UCSC")</f>
        <v>Go2UCSC</v>
      </c>
      <c r="H381" s="50">
        <v>2.9566666666666679</v>
      </c>
      <c r="I381" s="50">
        <v>0.43333333332500001</v>
      </c>
      <c r="J381" s="51">
        <v>3.3899999999916677</v>
      </c>
      <c r="K381" s="52">
        <v>0.87217305801591005</v>
      </c>
      <c r="L381" s="51">
        <v>0.90884718498436134</v>
      </c>
      <c r="M381" s="34">
        <v>2.0266666666666699</v>
      </c>
      <c r="N381" s="34">
        <v>1.6</v>
      </c>
      <c r="O381" s="34">
        <v>3.04</v>
      </c>
      <c r="P381" s="34">
        <v>5.16</v>
      </c>
      <c r="Q381" s="34">
        <v>0.2</v>
      </c>
      <c r="R381" s="34">
        <v>0.5</v>
      </c>
      <c r="S381" s="34">
        <v>0.7</v>
      </c>
      <c r="T381" s="34">
        <v>0.33333333330000003</v>
      </c>
    </row>
    <row r="382" spans="1:20" x14ac:dyDescent="0.2">
      <c r="A382" s="12">
        <v>379</v>
      </c>
      <c r="B382" s="57" t="s">
        <v>346</v>
      </c>
      <c r="C382" s="68" t="s">
        <v>595</v>
      </c>
      <c r="D382" s="48" t="s">
        <v>87</v>
      </c>
      <c r="E382" s="38">
        <v>5627681</v>
      </c>
      <c r="F382" s="39">
        <v>5627751</v>
      </c>
      <c r="G382" s="49" t="str">
        <f>HYPERLINK("http://genome.ucsc.edu/cgi-bin/hgTracks?position=chr5:5627531-5627901", "Go2UCSC")</f>
        <v>Go2UCSC</v>
      </c>
      <c r="H382" s="50">
        <v>3.04</v>
      </c>
      <c r="I382" s="50">
        <v>0.32268523296704921</v>
      </c>
      <c r="J382" s="51">
        <v>3.3626852329670491</v>
      </c>
      <c r="K382" s="52">
        <v>0.90403941772381435</v>
      </c>
      <c r="L382" s="51">
        <v>0.90638415982939335</v>
      </c>
      <c r="M382" s="34">
        <v>3.04</v>
      </c>
      <c r="N382" s="34">
        <v>3.04</v>
      </c>
      <c r="O382" s="34">
        <v>2.0266666666666699</v>
      </c>
      <c r="P382" s="34">
        <v>4.0533333333333301</v>
      </c>
      <c r="Q382" s="34">
        <v>0.85971514467411203</v>
      </c>
      <c r="R382" s="34">
        <v>0.15540576999408501</v>
      </c>
      <c r="S382" s="34">
        <v>0.13292167230000002</v>
      </c>
      <c r="T382" s="34">
        <v>0.1426983449</v>
      </c>
    </row>
    <row r="383" spans="1:20" x14ac:dyDescent="0.2">
      <c r="A383" s="12">
        <v>380</v>
      </c>
      <c r="B383" s="47" t="s">
        <v>143</v>
      </c>
      <c r="C383" s="65" t="s">
        <v>596</v>
      </c>
      <c r="D383" s="48" t="s">
        <v>179</v>
      </c>
      <c r="E383" s="38">
        <v>48253464</v>
      </c>
      <c r="F383" s="39">
        <v>48253535</v>
      </c>
      <c r="G383" s="49" t="str">
        <f>HYPERLINK("http://genome.ucsc.edu/cgi-bin/hgTracks?position=chr6:48253314-48253685", "Go2UCSC")</f>
        <v>Go2UCSC</v>
      </c>
      <c r="H383" s="50">
        <v>2.1</v>
      </c>
      <c r="I383" s="50">
        <v>1.2033333333416674</v>
      </c>
      <c r="J383" s="51">
        <v>3.3033333333416675</v>
      </c>
      <c r="K383" s="52">
        <v>0.6357214934393649</v>
      </c>
      <c r="L383" s="51">
        <v>0.88799283154345898</v>
      </c>
      <c r="M383" s="34">
        <v>1.04</v>
      </c>
      <c r="N383" s="34">
        <v>1.0133333333333301</v>
      </c>
      <c r="O383" s="34">
        <v>0.36</v>
      </c>
      <c r="P383" s="34">
        <v>5.9866666666666699</v>
      </c>
      <c r="Q383" s="34">
        <v>1.9266666666666699</v>
      </c>
      <c r="R383" s="34">
        <v>0.5</v>
      </c>
      <c r="S383" s="34">
        <v>1.5</v>
      </c>
      <c r="T383" s="34">
        <v>0.88666666670000005</v>
      </c>
    </row>
    <row r="384" spans="1:20" x14ac:dyDescent="0.2">
      <c r="A384" s="12">
        <v>381</v>
      </c>
      <c r="B384" s="47" t="s">
        <v>221</v>
      </c>
      <c r="C384" s="65" t="s">
        <v>597</v>
      </c>
      <c r="D384" s="48" t="s">
        <v>259</v>
      </c>
      <c r="E384" s="38">
        <v>106692410</v>
      </c>
      <c r="F384" s="39">
        <v>106692481</v>
      </c>
      <c r="G384" s="49" t="str">
        <f>HYPERLINK("http://genome.ucsc.edu/cgi-bin/hgTracks?position=chr7:106692260-106692631", "Go2UCSC")</f>
        <v>Go2UCSC</v>
      </c>
      <c r="H384" s="50">
        <v>3.2933333333333348</v>
      </c>
      <c r="I384" s="50">
        <v>0</v>
      </c>
      <c r="J384" s="51">
        <v>3.2933333333333348</v>
      </c>
      <c r="K384" s="52">
        <v>1</v>
      </c>
      <c r="L384" s="51">
        <v>0.88530465949820825</v>
      </c>
      <c r="M384" s="34">
        <v>2.2800000000000002</v>
      </c>
      <c r="N384" s="34">
        <v>3.04</v>
      </c>
      <c r="O384" s="34">
        <v>2.7866666666666697</v>
      </c>
      <c r="P384" s="34">
        <v>5.06666666666667</v>
      </c>
      <c r="Q384" s="34">
        <v>0</v>
      </c>
      <c r="R384" s="34">
        <v>0</v>
      </c>
      <c r="S384" s="34">
        <v>0</v>
      </c>
      <c r="T384" s="34">
        <v>0</v>
      </c>
    </row>
    <row r="385" spans="1:20" x14ac:dyDescent="0.2">
      <c r="A385" s="12">
        <v>382</v>
      </c>
      <c r="B385" s="47" t="s">
        <v>280</v>
      </c>
      <c r="C385" s="65" t="s">
        <v>598</v>
      </c>
      <c r="D385" s="48" t="s">
        <v>179</v>
      </c>
      <c r="E385" s="38">
        <v>48194315</v>
      </c>
      <c r="F385" s="39">
        <v>48194386</v>
      </c>
      <c r="G385" s="49" t="str">
        <f>HYPERLINK("http://genome.ucsc.edu/cgi-bin/hgTracks?position=chr6:48194165-48194536", "Go2UCSC")</f>
        <v>Go2UCSC</v>
      </c>
      <c r="H385" s="50">
        <v>2.1800000000000024</v>
      </c>
      <c r="I385" s="50">
        <v>1.0195833333333333</v>
      </c>
      <c r="J385" s="51">
        <v>3.1995833333333357</v>
      </c>
      <c r="K385" s="52">
        <v>0.68133871597864326</v>
      </c>
      <c r="L385" s="51">
        <v>0.8601030465949826</v>
      </c>
      <c r="M385" s="34">
        <v>3.1466666666666701</v>
      </c>
      <c r="N385" s="34">
        <v>1.5066666666666699</v>
      </c>
      <c r="O385" s="34">
        <v>2.0266666666666699</v>
      </c>
      <c r="P385" s="34">
        <v>2.04</v>
      </c>
      <c r="Q385" s="34">
        <v>1.5</v>
      </c>
      <c r="R385" s="34">
        <v>0.97333333333333305</v>
      </c>
      <c r="S385" s="34">
        <v>0.98</v>
      </c>
      <c r="T385" s="34">
        <v>0.625</v>
      </c>
    </row>
    <row r="386" spans="1:20" ht="25.5" x14ac:dyDescent="0.2">
      <c r="A386" s="12">
        <v>383</v>
      </c>
      <c r="B386" s="47" t="s">
        <v>442</v>
      </c>
      <c r="C386" s="65" t="s">
        <v>599</v>
      </c>
      <c r="D386" s="48" t="s">
        <v>423</v>
      </c>
      <c r="E386" s="38">
        <v>87292631</v>
      </c>
      <c r="F386" s="39">
        <v>87292703</v>
      </c>
      <c r="G386" s="49" t="str">
        <f>HYPERLINK("http://genome.ucsc.edu/cgi-bin/hgTracks?position=chr10:87292481-87292853", "Go2UCSC")</f>
        <v>Go2UCSC</v>
      </c>
      <c r="H386" s="50">
        <v>3.1766666666666672</v>
      </c>
      <c r="I386" s="50">
        <v>0</v>
      </c>
      <c r="J386" s="51">
        <v>3.1766666666666672</v>
      </c>
      <c r="K386" s="52">
        <v>1</v>
      </c>
      <c r="L386" s="51">
        <v>0.8516532618409296</v>
      </c>
      <c r="M386" s="34">
        <v>3.04</v>
      </c>
      <c r="N386" s="34">
        <v>5.8266666666666698</v>
      </c>
      <c r="O386" s="34">
        <v>2.8266666666666698</v>
      </c>
      <c r="P386" s="34">
        <v>1.0133333333333301</v>
      </c>
      <c r="Q386" s="34">
        <v>0</v>
      </c>
      <c r="R386" s="34">
        <v>0</v>
      </c>
      <c r="S386" s="34">
        <v>0</v>
      </c>
      <c r="T386" s="34">
        <v>0</v>
      </c>
    </row>
    <row r="387" spans="1:20" x14ac:dyDescent="0.2">
      <c r="A387" s="12">
        <v>384</v>
      </c>
      <c r="B387" s="47" t="s">
        <v>449</v>
      </c>
      <c r="C387" s="65" t="s">
        <v>600</v>
      </c>
      <c r="D387" s="48" t="s">
        <v>87</v>
      </c>
      <c r="E387" s="38">
        <v>144108745</v>
      </c>
      <c r="F387" s="39">
        <v>144108871</v>
      </c>
      <c r="G387" s="49" t="str">
        <f>HYPERLINK("http://genome.ucsc.edu/cgi-bin/hgTracks?position=chr5:144108595-144109021", "Go2UCSC")</f>
        <v>Go2UCSC</v>
      </c>
      <c r="H387" s="50">
        <v>3.01</v>
      </c>
      <c r="I387" s="50">
        <v>0.60786168004100083</v>
      </c>
      <c r="J387" s="51">
        <v>3.6178616800410008</v>
      </c>
      <c r="K387" s="52">
        <v>0.83198316193389898</v>
      </c>
      <c r="L387" s="51">
        <v>0.84727439813606575</v>
      </c>
      <c r="M387" s="34">
        <v>3.04</v>
      </c>
      <c r="N387" s="34">
        <v>4.0533333333333301</v>
      </c>
      <c r="O387" s="34">
        <v>3.04</v>
      </c>
      <c r="P387" s="34">
        <v>1.9066666666666698</v>
      </c>
      <c r="Q387" s="34">
        <v>8.1067588325652903E-2</v>
      </c>
      <c r="R387" s="34">
        <v>1.22648028673835</v>
      </c>
      <c r="S387" s="34">
        <v>0.87472720030000006</v>
      </c>
      <c r="T387" s="34">
        <v>0.24917164480000001</v>
      </c>
    </row>
    <row r="388" spans="1:20" x14ac:dyDescent="0.2">
      <c r="A388" s="12">
        <v>385</v>
      </c>
      <c r="B388" s="47" t="s">
        <v>319</v>
      </c>
      <c r="C388" s="65" t="s">
        <v>601</v>
      </c>
      <c r="D388" s="48" t="s">
        <v>179</v>
      </c>
      <c r="E388" s="38">
        <v>48306850</v>
      </c>
      <c r="F388" s="39">
        <v>48306921</v>
      </c>
      <c r="G388" s="49" t="str">
        <f>HYPERLINK("http://genome.ucsc.edu/cgi-bin/hgTracks?position=chr6:48306700-48307071", "Go2UCSC")</f>
        <v>Go2UCSC</v>
      </c>
      <c r="H388" s="50">
        <v>3.1233333333333348</v>
      </c>
      <c r="I388" s="50">
        <v>0</v>
      </c>
      <c r="J388" s="51">
        <v>3.1233333333333348</v>
      </c>
      <c r="K388" s="52">
        <v>1</v>
      </c>
      <c r="L388" s="51">
        <v>0.83960573476702549</v>
      </c>
      <c r="M388" s="34">
        <v>4.3866666666666703</v>
      </c>
      <c r="N388" s="34">
        <v>3.04</v>
      </c>
      <c r="O388" s="34">
        <v>3.04</v>
      </c>
      <c r="P388" s="34">
        <v>2.0266666666666699</v>
      </c>
      <c r="Q388" s="34">
        <v>0</v>
      </c>
      <c r="R388" s="34">
        <v>0</v>
      </c>
      <c r="S388" s="34">
        <v>0</v>
      </c>
      <c r="T388" s="34">
        <v>0</v>
      </c>
    </row>
    <row r="389" spans="1:20" ht="25.5" x14ac:dyDescent="0.2">
      <c r="A389" s="12">
        <v>386</v>
      </c>
      <c r="B389" s="47" t="s">
        <v>308</v>
      </c>
      <c r="C389" s="65" t="s">
        <v>602</v>
      </c>
      <c r="D389" s="48" t="s">
        <v>88</v>
      </c>
      <c r="E389" s="38">
        <v>67104641</v>
      </c>
      <c r="F389" s="39">
        <v>67104712</v>
      </c>
      <c r="G389" s="49" t="str">
        <f>HYPERLINK("http://genome.ucsc.edu/cgi-bin/hgTracks?position=chr11:67104491-67104862", "Go2UCSC")</f>
        <v>Go2UCSC</v>
      </c>
      <c r="H389" s="50">
        <v>3.0766666666666675</v>
      </c>
      <c r="I389" s="50">
        <v>0</v>
      </c>
      <c r="J389" s="51">
        <v>3.0766666666666675</v>
      </c>
      <c r="K389" s="52">
        <v>1</v>
      </c>
      <c r="L389" s="51">
        <v>0.8270609318996418</v>
      </c>
      <c r="M389" s="34">
        <v>2.96</v>
      </c>
      <c r="N389" s="34">
        <v>1.0133333333333301</v>
      </c>
      <c r="O389" s="34">
        <v>2.0266666666666699</v>
      </c>
      <c r="P389" s="34">
        <v>6.3066666666666702</v>
      </c>
      <c r="Q389" s="34">
        <v>0</v>
      </c>
      <c r="R389" s="34">
        <v>0</v>
      </c>
      <c r="S389" s="34">
        <v>0</v>
      </c>
      <c r="T389" s="34">
        <v>0</v>
      </c>
    </row>
    <row r="390" spans="1:20" x14ac:dyDescent="0.2">
      <c r="A390" s="12">
        <v>387</v>
      </c>
      <c r="B390" s="47" t="s">
        <v>293</v>
      </c>
      <c r="C390" s="65" t="s">
        <v>603</v>
      </c>
      <c r="D390" s="48" t="s">
        <v>508</v>
      </c>
      <c r="E390" s="38">
        <v>132730271</v>
      </c>
      <c r="F390" s="39">
        <v>132730343</v>
      </c>
      <c r="G390" s="49" t="str">
        <f>HYPERLINK("http://genome.ucsc.edu/cgi-bin/hgTracks?position=chrX:132730121-132730493", "Go2UCSC")</f>
        <v>Go2UCSC</v>
      </c>
      <c r="H390" s="50">
        <v>3.0700000000000025</v>
      </c>
      <c r="I390" s="50">
        <v>0</v>
      </c>
      <c r="J390" s="51">
        <v>3.0700000000000025</v>
      </c>
      <c r="K390" s="52">
        <v>1</v>
      </c>
      <c r="L390" s="51">
        <v>0.82305630026809717</v>
      </c>
      <c r="M390" s="34">
        <v>3.9466666666666699</v>
      </c>
      <c r="N390" s="34">
        <v>2.3066666666666702</v>
      </c>
      <c r="O390" s="34">
        <v>2.0266666666666699</v>
      </c>
      <c r="P390" s="34">
        <v>4</v>
      </c>
      <c r="Q390" s="34">
        <v>0</v>
      </c>
      <c r="R390" s="34">
        <v>0</v>
      </c>
      <c r="S390" s="34">
        <v>0</v>
      </c>
      <c r="T390" s="34">
        <v>0</v>
      </c>
    </row>
    <row r="391" spans="1:20" x14ac:dyDescent="0.2">
      <c r="A391" s="12">
        <v>388</v>
      </c>
      <c r="B391" s="47" t="s">
        <v>294</v>
      </c>
      <c r="C391" s="65" t="s">
        <v>604</v>
      </c>
      <c r="D391" s="48" t="s">
        <v>508</v>
      </c>
      <c r="E391" s="38">
        <v>132931443</v>
      </c>
      <c r="F391" s="39">
        <v>132931514</v>
      </c>
      <c r="G391" s="49" t="str">
        <f>HYPERLINK("http://genome.ucsc.edu/cgi-bin/hgTracks?position=chrX:132931293-132931664", "Go2UCSC")</f>
        <v>Go2UCSC</v>
      </c>
      <c r="H391" s="50">
        <v>2.1766666666666667</v>
      </c>
      <c r="I391" s="50">
        <v>0.83333333332500004</v>
      </c>
      <c r="J391" s="51">
        <v>3.0099999999916669</v>
      </c>
      <c r="K391" s="52">
        <v>0.72314507198428335</v>
      </c>
      <c r="L391" s="51">
        <v>0.80913978494399641</v>
      </c>
      <c r="M391" s="34">
        <v>3.6666666666666701</v>
      </c>
      <c r="N391" s="34">
        <v>1.0133333333333301</v>
      </c>
      <c r="O391" s="34">
        <v>3.04</v>
      </c>
      <c r="P391" s="34">
        <v>0.98666666666666702</v>
      </c>
      <c r="Q391" s="34">
        <v>1</v>
      </c>
      <c r="R391" s="34">
        <v>0.5</v>
      </c>
      <c r="S391" s="34">
        <v>0.83333333330000003</v>
      </c>
      <c r="T391" s="34">
        <v>1</v>
      </c>
    </row>
    <row r="392" spans="1:20" x14ac:dyDescent="0.2">
      <c r="A392" s="12">
        <v>389</v>
      </c>
      <c r="B392" s="47" t="s">
        <v>530</v>
      </c>
      <c r="C392" s="65" t="s">
        <v>605</v>
      </c>
      <c r="D392" s="48" t="s">
        <v>252</v>
      </c>
      <c r="E392" s="38">
        <v>96138894</v>
      </c>
      <c r="F392" s="39">
        <v>96138967</v>
      </c>
      <c r="G392" s="49" t="str">
        <f>HYPERLINK("http://genome.ucsc.edu/cgi-bin/hgTracks?position=chr3:96138753-96139117", "Go2UCSC")</f>
        <v>Go2UCSC</v>
      </c>
      <c r="H392" s="50">
        <v>2.0000000000000018</v>
      </c>
      <c r="I392" s="50">
        <v>0.9399999999833325</v>
      </c>
      <c r="J392" s="51">
        <v>2.9399999999833342</v>
      </c>
      <c r="K392" s="52">
        <v>0.6802721088473942</v>
      </c>
      <c r="L392" s="51">
        <v>0.80547945205022853</v>
      </c>
      <c r="M392" s="34">
        <v>2.0266666666666699</v>
      </c>
      <c r="N392" s="34">
        <v>0.90666666666666706</v>
      </c>
      <c r="O392" s="34">
        <v>5.06666666666667</v>
      </c>
      <c r="P392" s="34">
        <v>0</v>
      </c>
      <c r="Q392" s="34">
        <v>1.95333333333333</v>
      </c>
      <c r="R392" s="34">
        <v>0</v>
      </c>
      <c r="S392" s="34">
        <v>1.2533333333000001</v>
      </c>
      <c r="T392" s="34">
        <v>0.55333333330000001</v>
      </c>
    </row>
    <row r="393" spans="1:20" x14ac:dyDescent="0.2">
      <c r="A393" s="12">
        <v>390</v>
      </c>
      <c r="B393" s="47" t="s">
        <v>312</v>
      </c>
      <c r="C393" s="65" t="s">
        <v>606</v>
      </c>
      <c r="D393" s="48" t="s">
        <v>179</v>
      </c>
      <c r="E393" s="38">
        <v>48286107</v>
      </c>
      <c r="F393" s="39">
        <v>48286178</v>
      </c>
      <c r="G393" s="49" t="str">
        <f>HYPERLINK("http://genome.ucsc.edu/cgi-bin/hgTracks?position=chr6:48285957-48286328", "Go2UCSC")</f>
        <v>Go2UCSC</v>
      </c>
      <c r="H393" s="50">
        <v>2.3133333333333326</v>
      </c>
      <c r="I393" s="50">
        <v>0.59111111110833425</v>
      </c>
      <c r="J393" s="51">
        <v>2.9044444444416668</v>
      </c>
      <c r="K393" s="52">
        <v>0.79648048967176377</v>
      </c>
      <c r="L393" s="51">
        <v>0.78076463560259857</v>
      </c>
      <c r="M393" s="34">
        <v>0.72</v>
      </c>
      <c r="N393" s="34">
        <v>1.69333333333333</v>
      </c>
      <c r="O393" s="34">
        <v>4.8133333333333299</v>
      </c>
      <c r="P393" s="34">
        <v>2.0266666666666699</v>
      </c>
      <c r="Q393" s="34">
        <v>1.58666666666667</v>
      </c>
      <c r="R393" s="34">
        <v>0.36666666666666703</v>
      </c>
      <c r="S393" s="34">
        <v>0.41111111110000004</v>
      </c>
      <c r="T393" s="34">
        <v>0</v>
      </c>
    </row>
    <row r="394" spans="1:20" x14ac:dyDescent="0.2">
      <c r="A394" s="12">
        <v>391</v>
      </c>
      <c r="B394" s="47" t="s">
        <v>81</v>
      </c>
      <c r="C394" s="65" t="s">
        <v>607</v>
      </c>
      <c r="D394" s="48" t="s">
        <v>179</v>
      </c>
      <c r="E394" s="38">
        <v>48089509</v>
      </c>
      <c r="F394" s="39">
        <v>48089580</v>
      </c>
      <c r="G394" s="49" t="str">
        <f>HYPERLINK("http://genome.ucsc.edu/cgi-bin/hgTracks?position=chr6:48089359-48089730", "Go2UCSC")</f>
        <v>Go2UCSC</v>
      </c>
      <c r="H394" s="50">
        <v>2.8899999999999997</v>
      </c>
      <c r="I394" s="50">
        <v>0</v>
      </c>
      <c r="J394" s="51">
        <v>2.8899999999999997</v>
      </c>
      <c r="K394" s="52">
        <v>1</v>
      </c>
      <c r="L394" s="51">
        <v>0.77688172043010739</v>
      </c>
      <c r="M394" s="34">
        <v>3.04</v>
      </c>
      <c r="N394" s="34">
        <v>0</v>
      </c>
      <c r="O394" s="34">
        <v>8.52</v>
      </c>
      <c r="P394" s="34">
        <v>0</v>
      </c>
      <c r="Q394" s="34">
        <v>0</v>
      </c>
      <c r="R394" s="34">
        <v>0</v>
      </c>
      <c r="S394" s="34">
        <v>0</v>
      </c>
      <c r="T394" s="34">
        <v>0</v>
      </c>
    </row>
    <row r="395" spans="1:20" ht="25.5" x14ac:dyDescent="0.2">
      <c r="A395" s="12">
        <v>392</v>
      </c>
      <c r="B395" s="47" t="s">
        <v>348</v>
      </c>
      <c r="C395" s="65" t="s">
        <v>608</v>
      </c>
      <c r="D395" s="48" t="s">
        <v>414</v>
      </c>
      <c r="E395" s="38">
        <v>21367825</v>
      </c>
      <c r="F395" s="39">
        <v>21367898</v>
      </c>
      <c r="G395" s="49" t="str">
        <f>HYPERLINK("http://genome.ucsc.edu/cgi-bin/hgTracks?position=chr13:21367675-21368048", "Go2UCSC")</f>
        <v>Go2UCSC</v>
      </c>
      <c r="H395" s="50">
        <v>2.8566666666666651</v>
      </c>
      <c r="I395" s="50">
        <v>0</v>
      </c>
      <c r="J395" s="51">
        <v>2.8566666666666651</v>
      </c>
      <c r="K395" s="52">
        <v>1</v>
      </c>
      <c r="L395" s="51">
        <v>0.76381461675579287</v>
      </c>
      <c r="M395" s="34">
        <v>1.0133333333333301</v>
      </c>
      <c r="N395" s="34">
        <v>3.04</v>
      </c>
      <c r="O395" s="34">
        <v>4.0533333333333301</v>
      </c>
      <c r="P395" s="34">
        <v>3.32</v>
      </c>
      <c r="Q395" s="34">
        <v>0</v>
      </c>
      <c r="R395" s="34">
        <v>0</v>
      </c>
      <c r="S395" s="34">
        <v>0</v>
      </c>
      <c r="T395" s="34">
        <v>0</v>
      </c>
    </row>
    <row r="396" spans="1:20" x14ac:dyDescent="0.2">
      <c r="A396" s="12">
        <v>393</v>
      </c>
      <c r="B396" s="47" t="s">
        <v>434</v>
      </c>
      <c r="C396" s="65" t="s">
        <v>609</v>
      </c>
      <c r="D396" s="48" t="s">
        <v>179</v>
      </c>
      <c r="E396" s="38">
        <v>48155067</v>
      </c>
      <c r="F396" s="39">
        <v>48155138</v>
      </c>
      <c r="G396" s="49" t="str">
        <f>HYPERLINK("http://genome.ucsc.edu/cgi-bin/hgTracks?position=chr6:48154917-48155288", "Go2UCSC")</f>
        <v>Go2UCSC</v>
      </c>
      <c r="H396" s="50">
        <v>2.8233333333333301</v>
      </c>
      <c r="I396" s="50">
        <v>0</v>
      </c>
      <c r="J396" s="51">
        <v>2.8233333333333301</v>
      </c>
      <c r="K396" s="52">
        <v>1</v>
      </c>
      <c r="L396" s="51">
        <v>0.75896057347670165</v>
      </c>
      <c r="M396" s="34">
        <v>2.0933333333333302</v>
      </c>
      <c r="N396" s="34">
        <v>1.13333333333333</v>
      </c>
      <c r="O396" s="34">
        <v>4.0533333333333301</v>
      </c>
      <c r="P396" s="34">
        <v>4.0133333333333301</v>
      </c>
      <c r="Q396" s="34">
        <v>0</v>
      </c>
      <c r="R396" s="34">
        <v>0</v>
      </c>
      <c r="S396" s="34">
        <v>0</v>
      </c>
      <c r="T396" s="34">
        <v>0</v>
      </c>
    </row>
    <row r="397" spans="1:20" x14ac:dyDescent="0.2">
      <c r="A397" s="12">
        <v>394</v>
      </c>
      <c r="B397" s="47" t="s">
        <v>435</v>
      </c>
      <c r="C397" s="65" t="s">
        <v>610</v>
      </c>
      <c r="D397" s="48" t="s">
        <v>179</v>
      </c>
      <c r="E397" s="38">
        <v>48157450</v>
      </c>
      <c r="F397" s="39">
        <v>48157521</v>
      </c>
      <c r="G397" s="49" t="str">
        <f>HYPERLINK("http://genome.ucsc.edu/cgi-bin/hgTracks?position=chr6:48157300-48157671", "Go2UCSC")</f>
        <v>Go2UCSC</v>
      </c>
      <c r="H397" s="50">
        <v>2.7733333333333325</v>
      </c>
      <c r="I397" s="50">
        <v>3.125E-2</v>
      </c>
      <c r="J397" s="51">
        <v>2.8045833333333325</v>
      </c>
      <c r="K397" s="52">
        <v>0.98885752488486112</v>
      </c>
      <c r="L397" s="51">
        <v>0.75392025089605719</v>
      </c>
      <c r="M397" s="34">
        <v>4.04</v>
      </c>
      <c r="N397" s="34">
        <v>0.96</v>
      </c>
      <c r="O397" s="34">
        <v>2.04</v>
      </c>
      <c r="P397" s="34">
        <v>4.0533333333333301</v>
      </c>
      <c r="Q397" s="34">
        <v>0</v>
      </c>
      <c r="R397" s="34">
        <v>0</v>
      </c>
      <c r="S397" s="34">
        <v>0</v>
      </c>
      <c r="T397" s="34">
        <v>0.125</v>
      </c>
    </row>
    <row r="398" spans="1:20" x14ac:dyDescent="0.2">
      <c r="A398" s="12">
        <v>395</v>
      </c>
      <c r="B398" s="55" t="s">
        <v>405</v>
      </c>
      <c r="C398" s="66" t="s">
        <v>611</v>
      </c>
      <c r="D398" s="48" t="s">
        <v>85</v>
      </c>
      <c r="E398" s="38">
        <v>118881889</v>
      </c>
      <c r="F398" s="39">
        <v>118881962</v>
      </c>
      <c r="G398" s="49" t="str">
        <f>HYPERLINK("http://genome.ucsc.edu/cgi-bin/hgTracks?position=chr2:118881739-118882112", "Go2UCSC")</f>
        <v>Go2UCSC</v>
      </c>
      <c r="H398" s="50">
        <v>2.81</v>
      </c>
      <c r="I398" s="50">
        <v>1.9313674046619351E-3</v>
      </c>
      <c r="J398" s="51">
        <v>2.8119313674046622</v>
      </c>
      <c r="K398" s="52">
        <v>0.99931315272234233</v>
      </c>
      <c r="L398" s="51">
        <v>0.75185330679269047</v>
      </c>
      <c r="M398" s="34">
        <v>1.0133333333333301</v>
      </c>
      <c r="N398" s="34">
        <v>0</v>
      </c>
      <c r="O398" s="34">
        <v>3.7066666666666701</v>
      </c>
      <c r="P398" s="34">
        <v>6.52</v>
      </c>
      <c r="Q398" s="34">
        <v>1.8851343816214999E-3</v>
      </c>
      <c r="R398" s="34">
        <v>1.7492711370262401E-3</v>
      </c>
      <c r="S398" s="34">
        <v>2.5361564000000001E-3</v>
      </c>
      <c r="T398" s="34">
        <v>1.5549077000000001E-3</v>
      </c>
    </row>
    <row r="399" spans="1:20" x14ac:dyDescent="0.2">
      <c r="A399" s="12">
        <v>396</v>
      </c>
      <c r="B399" s="47" t="s">
        <v>299</v>
      </c>
      <c r="C399" s="65" t="s">
        <v>900</v>
      </c>
      <c r="D399" s="48" t="s">
        <v>508</v>
      </c>
      <c r="E399" s="38">
        <v>133103785</v>
      </c>
      <c r="F399" s="39">
        <v>133103856</v>
      </c>
      <c r="G399" s="49" t="str">
        <f>HYPERLINK("http://genome.ucsc.edu/cgi-bin/hgTracks?position=chrX:133103635-133104006", "Go2UCSC")</f>
        <v>Go2UCSC</v>
      </c>
      <c r="H399" s="50">
        <v>2.56</v>
      </c>
      <c r="I399" s="50">
        <v>0.20500000000000002</v>
      </c>
      <c r="J399" s="51">
        <v>2.7650000000000001</v>
      </c>
      <c r="K399" s="52">
        <v>0.92585895117540684</v>
      </c>
      <c r="L399" s="51">
        <v>0.74327956989247312</v>
      </c>
      <c r="M399" s="34">
        <v>0</v>
      </c>
      <c r="N399" s="34">
        <v>3.04</v>
      </c>
      <c r="O399" s="34">
        <v>3.04</v>
      </c>
      <c r="P399" s="34">
        <v>4.16</v>
      </c>
      <c r="Q399" s="34">
        <v>0.22</v>
      </c>
      <c r="R399" s="34">
        <v>0</v>
      </c>
      <c r="S399" s="34">
        <v>0.33333333330000003</v>
      </c>
      <c r="T399" s="34">
        <v>0.2666666667</v>
      </c>
    </row>
    <row r="400" spans="1:20" x14ac:dyDescent="0.2">
      <c r="A400" s="12">
        <v>397</v>
      </c>
      <c r="B400" s="47" t="s">
        <v>284</v>
      </c>
      <c r="C400" s="65" t="s">
        <v>733</v>
      </c>
      <c r="D400" s="48" t="s">
        <v>252</v>
      </c>
      <c r="E400" s="38">
        <v>59278848</v>
      </c>
      <c r="F400" s="39">
        <v>59278919</v>
      </c>
      <c r="G400" s="49" t="str">
        <f>HYPERLINK("http://genome.ucsc.edu/cgi-bin/hgTracks?position=chr3:59278698-59279069", "Go2UCSC")</f>
        <v>Go2UCSC</v>
      </c>
      <c r="H400" s="50">
        <v>2.6533333333333324</v>
      </c>
      <c r="I400" s="50">
        <v>0</v>
      </c>
      <c r="J400" s="51">
        <v>2.6533333333333324</v>
      </c>
      <c r="K400" s="52">
        <v>1</v>
      </c>
      <c r="L400" s="51">
        <v>0.71326164874551956</v>
      </c>
      <c r="M400" s="34">
        <v>0</v>
      </c>
      <c r="N400" s="34">
        <v>1.0133333333333301</v>
      </c>
      <c r="O400" s="34">
        <v>7.0933333333333302</v>
      </c>
      <c r="P400" s="34">
        <v>2.5066666666666699</v>
      </c>
      <c r="Q400" s="34">
        <v>0</v>
      </c>
      <c r="R400" s="34">
        <v>0</v>
      </c>
      <c r="S400" s="34">
        <v>0</v>
      </c>
      <c r="T400" s="34">
        <v>0</v>
      </c>
    </row>
    <row r="401" spans="1:20" x14ac:dyDescent="0.2">
      <c r="A401" s="12">
        <v>398</v>
      </c>
      <c r="B401" s="47" t="s">
        <v>316</v>
      </c>
      <c r="C401" s="65" t="s">
        <v>734</v>
      </c>
      <c r="D401" s="48" t="s">
        <v>179</v>
      </c>
      <c r="E401" s="38">
        <v>48299761</v>
      </c>
      <c r="F401" s="39">
        <v>48299832</v>
      </c>
      <c r="G401" s="49" t="str">
        <f>HYPERLINK("http://genome.ucsc.edu/cgi-bin/hgTracks?position=chr6:48299611-48299982", "Go2UCSC")</f>
        <v>Go2UCSC</v>
      </c>
      <c r="H401" s="50">
        <v>2.5733333333333324</v>
      </c>
      <c r="I401" s="50">
        <v>6.833333333333326E-2</v>
      </c>
      <c r="J401" s="51">
        <v>2.6416666666666657</v>
      </c>
      <c r="K401" s="52">
        <v>0.97413249211356467</v>
      </c>
      <c r="L401" s="51">
        <v>0.71012544802867361</v>
      </c>
      <c r="M401" s="34">
        <v>1.8533333333333299</v>
      </c>
      <c r="N401" s="34">
        <v>4.96</v>
      </c>
      <c r="O401" s="34">
        <v>3.48</v>
      </c>
      <c r="P401" s="34">
        <v>0</v>
      </c>
      <c r="Q401" s="34">
        <v>0</v>
      </c>
      <c r="R401" s="34">
        <v>0.27333333333333304</v>
      </c>
      <c r="S401" s="34">
        <v>0</v>
      </c>
      <c r="T401" s="34">
        <v>0</v>
      </c>
    </row>
    <row r="402" spans="1:20" ht="25.5" x14ac:dyDescent="0.2">
      <c r="A402" s="12">
        <v>399</v>
      </c>
      <c r="B402" s="47" t="s">
        <v>360</v>
      </c>
      <c r="C402" s="65" t="s">
        <v>735</v>
      </c>
      <c r="D402" s="48" t="s">
        <v>88</v>
      </c>
      <c r="E402" s="38">
        <v>86075670</v>
      </c>
      <c r="F402" s="39">
        <v>86075741</v>
      </c>
      <c r="G402" s="49" t="str">
        <f>HYPERLINK("http://genome.ucsc.edu/cgi-bin/hgTracks?position=chr11:86075520-86075891", "Go2UCSC")</f>
        <v>Go2UCSC</v>
      </c>
      <c r="H402" s="50">
        <v>2.4733333333333327</v>
      </c>
      <c r="I402" s="50">
        <v>0.12500000001666675</v>
      </c>
      <c r="J402" s="51">
        <v>2.5983333333499994</v>
      </c>
      <c r="K402" s="52">
        <v>0.95189223860839067</v>
      </c>
      <c r="L402" s="51">
        <v>0.69847670251344074</v>
      </c>
      <c r="M402" s="34">
        <v>6.2133333333333303</v>
      </c>
      <c r="N402" s="34">
        <v>2.6666666666666701</v>
      </c>
      <c r="O402" s="34">
        <v>1.0133333333333301</v>
      </c>
      <c r="P402" s="34">
        <v>0</v>
      </c>
      <c r="Q402" s="34">
        <v>0.16666666666666702</v>
      </c>
      <c r="R402" s="34">
        <v>0</v>
      </c>
      <c r="S402" s="34">
        <v>0.16666666669999999</v>
      </c>
      <c r="T402" s="34">
        <v>0.16666666669999999</v>
      </c>
    </row>
    <row r="403" spans="1:20" x14ac:dyDescent="0.2">
      <c r="A403" s="12">
        <v>400</v>
      </c>
      <c r="B403" s="47" t="s">
        <v>441</v>
      </c>
      <c r="C403" s="65" t="s">
        <v>736</v>
      </c>
      <c r="D403" s="48" t="s">
        <v>508</v>
      </c>
      <c r="E403" s="38">
        <v>132915286</v>
      </c>
      <c r="F403" s="39">
        <v>132915357</v>
      </c>
      <c r="G403" s="49" t="str">
        <f>HYPERLINK("http://genome.ucsc.edu/cgi-bin/hgTracks?position=chrX:132915136-132915507", "Go2UCSC")</f>
        <v>Go2UCSC</v>
      </c>
      <c r="H403" s="50">
        <v>1.7399999999999993</v>
      </c>
      <c r="I403" s="50">
        <v>0.83333333332500004</v>
      </c>
      <c r="J403" s="51">
        <v>2.5733333333249995</v>
      </c>
      <c r="K403" s="52">
        <v>0.67616580311099783</v>
      </c>
      <c r="L403" s="51">
        <v>0.69175627239919335</v>
      </c>
      <c r="M403" s="34">
        <v>0.78666666666666707</v>
      </c>
      <c r="N403" s="34">
        <v>3.36</v>
      </c>
      <c r="O403" s="34">
        <v>1.8</v>
      </c>
      <c r="P403" s="34">
        <v>1.0133333333333301</v>
      </c>
      <c r="Q403" s="34">
        <v>1</v>
      </c>
      <c r="R403" s="34">
        <v>0.5</v>
      </c>
      <c r="S403" s="34">
        <v>0.83333333330000003</v>
      </c>
      <c r="T403" s="34">
        <v>1</v>
      </c>
    </row>
    <row r="404" spans="1:20" ht="25.5" x14ac:dyDescent="0.2">
      <c r="A404" s="12">
        <v>401</v>
      </c>
      <c r="B404" s="55" t="s">
        <v>65</v>
      </c>
      <c r="C404" s="66" t="s">
        <v>737</v>
      </c>
      <c r="D404" s="48" t="s">
        <v>414</v>
      </c>
      <c r="E404" s="38">
        <v>21887668</v>
      </c>
      <c r="F404" s="39">
        <v>21887750</v>
      </c>
      <c r="G404" s="49" t="str">
        <f>HYPERLINK("http://genome.ucsc.edu/cgi-bin/hgTracks?position=chr13:21887518-21887900", "Go2UCSC")</f>
        <v>Go2UCSC</v>
      </c>
      <c r="H404" s="50">
        <v>2.426666666666665</v>
      </c>
      <c r="I404" s="50">
        <v>0.17666666665</v>
      </c>
      <c r="J404" s="51">
        <v>2.6033333333166651</v>
      </c>
      <c r="K404" s="52">
        <v>0.9321382842569278</v>
      </c>
      <c r="L404" s="51">
        <v>0.67972149694952089</v>
      </c>
      <c r="M404" s="34">
        <v>5.08</v>
      </c>
      <c r="N404" s="34">
        <v>1.0133333333333301</v>
      </c>
      <c r="O404" s="34">
        <v>2.6</v>
      </c>
      <c r="P404" s="34">
        <v>1.0133333333333301</v>
      </c>
      <c r="Q404" s="34">
        <v>0</v>
      </c>
      <c r="R404" s="34">
        <v>0</v>
      </c>
      <c r="S404" s="34">
        <v>0.21333333330000001</v>
      </c>
      <c r="T404" s="34">
        <v>0.49333333330000001</v>
      </c>
    </row>
    <row r="405" spans="1:20" x14ac:dyDescent="0.2">
      <c r="A405" s="12">
        <v>402</v>
      </c>
      <c r="B405" s="47" t="s">
        <v>454</v>
      </c>
      <c r="C405" s="65" t="s">
        <v>738</v>
      </c>
      <c r="D405" s="48" t="s">
        <v>508</v>
      </c>
      <c r="E405" s="38">
        <v>53840716</v>
      </c>
      <c r="F405" s="39">
        <v>53840788</v>
      </c>
      <c r="G405" s="49" t="str">
        <f>HYPERLINK("http://genome.ucsc.edu/cgi-bin/hgTracks?position=chrX:53840566-53840938", "Go2UCSC")</f>
        <v>Go2UCSC</v>
      </c>
      <c r="H405" s="50">
        <v>2.4699999999999984</v>
      </c>
      <c r="I405" s="50">
        <v>0</v>
      </c>
      <c r="J405" s="51">
        <v>2.4699999999999984</v>
      </c>
      <c r="K405" s="52">
        <v>1</v>
      </c>
      <c r="L405" s="51">
        <v>0.66219839142091108</v>
      </c>
      <c r="M405" s="34">
        <v>3.8133333333333299</v>
      </c>
      <c r="N405" s="34">
        <v>2.37333333333333</v>
      </c>
      <c r="O405" s="34">
        <v>2.96</v>
      </c>
      <c r="P405" s="34">
        <v>0.73333333333333306</v>
      </c>
      <c r="Q405" s="34">
        <v>0</v>
      </c>
      <c r="R405" s="34">
        <v>0</v>
      </c>
      <c r="S405" s="34">
        <v>0</v>
      </c>
      <c r="T405" s="34">
        <v>0</v>
      </c>
    </row>
    <row r="406" spans="1:20" x14ac:dyDescent="0.2">
      <c r="A406" s="12">
        <v>403</v>
      </c>
      <c r="B406" s="47" t="s">
        <v>315</v>
      </c>
      <c r="C406" s="65" t="s">
        <v>739</v>
      </c>
      <c r="D406" s="48" t="s">
        <v>179</v>
      </c>
      <c r="E406" s="38">
        <v>48291587</v>
      </c>
      <c r="F406" s="39">
        <v>48291658</v>
      </c>
      <c r="G406" s="49" t="str">
        <f>HYPERLINK("http://genome.ucsc.edu/cgi-bin/hgTracks?position=chr6:48291437-48291808", "Go2UCSC")</f>
        <v>Go2UCSC</v>
      </c>
      <c r="H406" s="50">
        <v>2.3333333333333321</v>
      </c>
      <c r="I406" s="50">
        <v>1.8273809523809526E-2</v>
      </c>
      <c r="J406" s="51">
        <v>2.3516071428571417</v>
      </c>
      <c r="K406" s="52">
        <v>0.99222922520059731</v>
      </c>
      <c r="L406" s="51">
        <v>0.63215245775729612</v>
      </c>
      <c r="M406" s="34">
        <v>2.0266666666666699</v>
      </c>
      <c r="N406" s="34">
        <v>1.3333333333333299</v>
      </c>
      <c r="O406" s="34">
        <v>1.0133333333333301</v>
      </c>
      <c r="P406" s="34">
        <v>4.96</v>
      </c>
      <c r="Q406" s="34">
        <v>0</v>
      </c>
      <c r="R406" s="34">
        <v>7.3095238095238102E-2</v>
      </c>
      <c r="S406" s="34">
        <v>0</v>
      </c>
      <c r="T406" s="34">
        <v>0</v>
      </c>
    </row>
    <row r="407" spans="1:20" ht="25.5" x14ac:dyDescent="0.2">
      <c r="A407" s="12">
        <v>404</v>
      </c>
      <c r="B407" s="47" t="s">
        <v>213</v>
      </c>
      <c r="C407" s="65" t="s">
        <v>740</v>
      </c>
      <c r="D407" s="48" t="s">
        <v>423</v>
      </c>
      <c r="E407" s="38">
        <v>23496889</v>
      </c>
      <c r="F407" s="39">
        <v>23496960</v>
      </c>
      <c r="G407" s="49" t="str">
        <f>HYPERLINK("http://genome.ucsc.edu/cgi-bin/hgTracks?position=chr10:23496739-23497110", "Go2UCSC")</f>
        <v>Go2UCSC</v>
      </c>
      <c r="H407" s="50">
        <v>1.813333333333335</v>
      </c>
      <c r="I407" s="50">
        <v>0.46636223778560881</v>
      </c>
      <c r="J407" s="51">
        <v>2.2796955711189439</v>
      </c>
      <c r="K407" s="52">
        <v>0.79542784409731337</v>
      </c>
      <c r="L407" s="51">
        <v>0.61282139008573766</v>
      </c>
      <c r="M407" s="34">
        <v>1.0133333333333301</v>
      </c>
      <c r="N407" s="34">
        <v>2.0266666666666699</v>
      </c>
      <c r="O407" s="34">
        <v>2.0266666666666699</v>
      </c>
      <c r="P407" s="34">
        <v>2.1866666666666701</v>
      </c>
      <c r="Q407" s="34">
        <v>0.36327835998738806</v>
      </c>
      <c r="R407" s="34">
        <v>0.36144677945504705</v>
      </c>
      <c r="S407" s="34">
        <v>0.50090931370000003</v>
      </c>
      <c r="T407" s="34">
        <v>0.63981449800000001</v>
      </c>
    </row>
    <row r="408" spans="1:20" x14ac:dyDescent="0.2">
      <c r="A408" s="12">
        <v>405</v>
      </c>
      <c r="B408" s="47" t="s">
        <v>75</v>
      </c>
      <c r="C408" s="65" t="s">
        <v>741</v>
      </c>
      <c r="D408" s="48" t="s">
        <v>85</v>
      </c>
      <c r="E408" s="38">
        <v>113929103</v>
      </c>
      <c r="F408" s="39">
        <v>113929174</v>
      </c>
      <c r="G408" s="49" t="str">
        <f>HYPERLINK("http://genome.ucsc.edu/cgi-bin/hgTracks?position=chr2:113928953-113929324", "Go2UCSC")</f>
        <v>Go2UCSC</v>
      </c>
      <c r="H408" s="50">
        <v>2.2500000000000004</v>
      </c>
      <c r="I408" s="50">
        <v>0</v>
      </c>
      <c r="J408" s="51">
        <v>2.2500000000000004</v>
      </c>
      <c r="K408" s="52">
        <v>1</v>
      </c>
      <c r="L408" s="51">
        <v>0.60483870967741948</v>
      </c>
      <c r="M408" s="34">
        <v>3.04</v>
      </c>
      <c r="N408" s="34">
        <v>1.0133333333333301</v>
      </c>
      <c r="O408" s="34">
        <v>4.2266666666666701</v>
      </c>
      <c r="P408" s="34">
        <v>0.72</v>
      </c>
      <c r="Q408" s="34">
        <v>0</v>
      </c>
      <c r="R408" s="34">
        <v>0</v>
      </c>
      <c r="S408" s="34">
        <v>0</v>
      </c>
      <c r="T408" s="34">
        <v>0</v>
      </c>
    </row>
    <row r="409" spans="1:20" x14ac:dyDescent="0.2">
      <c r="A409" s="12">
        <v>406</v>
      </c>
      <c r="B409" s="47" t="s">
        <v>20</v>
      </c>
      <c r="C409" s="65" t="s">
        <v>742</v>
      </c>
      <c r="D409" s="48" t="s">
        <v>179</v>
      </c>
      <c r="E409" s="38">
        <v>10050371</v>
      </c>
      <c r="F409" s="39">
        <v>10050443</v>
      </c>
      <c r="G409" s="49" t="str">
        <f>HYPERLINK("http://genome.ucsc.edu/cgi-bin/hgTracks?position=chr6:10050221-10050593", "Go2UCSC")</f>
        <v>Go2UCSC</v>
      </c>
      <c r="H409" s="50">
        <v>2.23</v>
      </c>
      <c r="I409" s="50">
        <v>0</v>
      </c>
      <c r="J409" s="51">
        <v>2.23</v>
      </c>
      <c r="K409" s="52">
        <v>1</v>
      </c>
      <c r="L409" s="51">
        <v>0.59785522788203749</v>
      </c>
      <c r="M409" s="34">
        <v>2.0266666666666699</v>
      </c>
      <c r="N409" s="34">
        <v>1.0133333333333301</v>
      </c>
      <c r="O409" s="34">
        <v>1.82666666666667</v>
      </c>
      <c r="P409" s="34">
        <v>4.0533333333333301</v>
      </c>
      <c r="Q409" s="34">
        <v>0</v>
      </c>
      <c r="R409" s="34">
        <v>0</v>
      </c>
      <c r="S409" s="34">
        <v>0</v>
      </c>
      <c r="T409" s="34">
        <v>0</v>
      </c>
    </row>
    <row r="410" spans="1:20" ht="25.5" x14ac:dyDescent="0.2">
      <c r="A410" s="12">
        <v>407</v>
      </c>
      <c r="B410" s="47" t="s">
        <v>344</v>
      </c>
      <c r="C410" s="65" t="s">
        <v>743</v>
      </c>
      <c r="D410" s="48" t="s">
        <v>92</v>
      </c>
      <c r="E410" s="38">
        <v>3449838</v>
      </c>
      <c r="F410" s="39">
        <v>3449909</v>
      </c>
      <c r="G410" s="49" t="str">
        <f>HYPERLINK("http://genome.ucsc.edu/cgi-bin/hgTracks?position=chr16:3449688-3450059", "Go2UCSC")</f>
        <v>Go2UCSC</v>
      </c>
      <c r="H410" s="50">
        <v>0.61333333333333429</v>
      </c>
      <c r="I410" s="50">
        <v>1.5199999999999996</v>
      </c>
      <c r="J410" s="51">
        <v>2.1333333333333337</v>
      </c>
      <c r="K410" s="52">
        <v>0.28750000000000037</v>
      </c>
      <c r="L410" s="51">
        <v>0.57347670250896066</v>
      </c>
      <c r="M410" s="34">
        <v>0</v>
      </c>
      <c r="N410" s="34">
        <v>0.38666666666666705</v>
      </c>
      <c r="O410" s="34">
        <v>0.04</v>
      </c>
      <c r="P410" s="34">
        <v>2.0266666666666699</v>
      </c>
      <c r="Q410" s="34">
        <v>1.3333333333333299</v>
      </c>
      <c r="R410" s="34">
        <v>0.66666666666666807</v>
      </c>
      <c r="S410" s="34">
        <v>1.7466666666999999</v>
      </c>
      <c r="T410" s="34">
        <v>2.3333333333000001</v>
      </c>
    </row>
    <row r="411" spans="1:20" ht="25.5" x14ac:dyDescent="0.2">
      <c r="A411" s="12">
        <v>408</v>
      </c>
      <c r="B411" s="47" t="s">
        <v>285</v>
      </c>
      <c r="C411" s="65" t="s">
        <v>744</v>
      </c>
      <c r="D411" s="48" t="s">
        <v>261</v>
      </c>
      <c r="E411" s="38">
        <v>59436990</v>
      </c>
      <c r="F411" s="39">
        <v>59437063</v>
      </c>
      <c r="G411" s="49" t="str">
        <f>HYPERLINK("http://genome.ucsc.edu/cgi-bin/hgTracks?position=chr14:59436840-59437213", "Go2UCSC")</f>
        <v>Go2UCSC</v>
      </c>
      <c r="H411" s="50">
        <v>2.1266666666666652</v>
      </c>
      <c r="I411" s="50">
        <v>0</v>
      </c>
      <c r="J411" s="51">
        <v>2.1266666666666652</v>
      </c>
      <c r="K411" s="52">
        <v>1</v>
      </c>
      <c r="L411" s="51">
        <v>0.5686274509803918</v>
      </c>
      <c r="M411" s="34">
        <v>1.0133333333333301</v>
      </c>
      <c r="N411" s="34">
        <v>3.1333333333333302</v>
      </c>
      <c r="O411" s="34">
        <v>1.32</v>
      </c>
      <c r="P411" s="34">
        <v>3.04</v>
      </c>
      <c r="Q411" s="34">
        <v>0</v>
      </c>
      <c r="R411" s="34">
        <v>0</v>
      </c>
      <c r="S411" s="34">
        <v>0</v>
      </c>
      <c r="T411" s="34">
        <v>0</v>
      </c>
    </row>
    <row r="412" spans="1:20" x14ac:dyDescent="0.2">
      <c r="A412" s="12">
        <v>409</v>
      </c>
      <c r="B412" s="47" t="s">
        <v>288</v>
      </c>
      <c r="C412" s="65" t="s">
        <v>745</v>
      </c>
      <c r="D412" s="48" t="s">
        <v>30</v>
      </c>
      <c r="E412" s="38">
        <v>190765285</v>
      </c>
      <c r="F412" s="39">
        <v>190765358</v>
      </c>
      <c r="G412" s="49" t="str">
        <f>HYPERLINK("http://genome.ucsc.edu/cgi-bin/hgTracks?position=chr1:190765135-190765508", "Go2UCSC")</f>
        <v>Go2UCSC</v>
      </c>
      <c r="H412" s="50">
        <v>1.7366666666666668</v>
      </c>
      <c r="I412" s="50">
        <v>0.34628901939117152</v>
      </c>
      <c r="J412" s="51">
        <v>2.0829556860578382</v>
      </c>
      <c r="K412" s="52">
        <v>0.83375113464533113</v>
      </c>
      <c r="L412" s="51">
        <v>0.55694002301011714</v>
      </c>
      <c r="M412" s="34">
        <v>2.0266666666666699</v>
      </c>
      <c r="N412" s="34">
        <v>3.04</v>
      </c>
      <c r="O412" s="34">
        <v>1.0133333333333301</v>
      </c>
      <c r="P412" s="34">
        <v>0.86666666666666703</v>
      </c>
      <c r="Q412" s="34">
        <v>0.52054761886315304</v>
      </c>
      <c r="R412" s="34">
        <v>0.32619350720153301</v>
      </c>
      <c r="S412" s="34">
        <v>0.2157463781</v>
      </c>
      <c r="T412" s="34">
        <v>0.32266857339999999</v>
      </c>
    </row>
    <row r="413" spans="1:20" x14ac:dyDescent="0.2">
      <c r="A413" s="12">
        <v>410</v>
      </c>
      <c r="B413" s="47" t="s">
        <v>212</v>
      </c>
      <c r="C413" s="65" t="s">
        <v>746</v>
      </c>
      <c r="D413" s="48" t="s">
        <v>87</v>
      </c>
      <c r="E413" s="38">
        <v>98470109</v>
      </c>
      <c r="F413" s="39">
        <v>98470181</v>
      </c>
      <c r="G413" s="49" t="str">
        <f>HYPERLINK("http://genome.ucsc.edu/cgi-bin/hgTracks?position=chr5:98469959-98470331", "Go2UCSC")</f>
        <v>Go2UCSC</v>
      </c>
      <c r="H413" s="50">
        <v>2.0266666666666673</v>
      </c>
      <c r="I413" s="50">
        <v>0</v>
      </c>
      <c r="J413" s="51">
        <v>2.0266666666666673</v>
      </c>
      <c r="K413" s="52">
        <v>1</v>
      </c>
      <c r="L413" s="51">
        <v>0.54334226988382506</v>
      </c>
      <c r="M413" s="34">
        <v>3.04</v>
      </c>
      <c r="N413" s="34">
        <v>0</v>
      </c>
      <c r="O413" s="34">
        <v>3.04</v>
      </c>
      <c r="P413" s="34">
        <v>2.0266666666666699</v>
      </c>
      <c r="Q413" s="34">
        <v>0</v>
      </c>
      <c r="R413" s="34">
        <v>0</v>
      </c>
      <c r="S413" s="34">
        <v>0</v>
      </c>
      <c r="T413" s="34">
        <v>0</v>
      </c>
    </row>
    <row r="414" spans="1:20" x14ac:dyDescent="0.2">
      <c r="A414" s="12">
        <v>411</v>
      </c>
      <c r="B414" s="47" t="s">
        <v>292</v>
      </c>
      <c r="C414" s="65" t="s">
        <v>747</v>
      </c>
      <c r="D414" s="48" t="s">
        <v>127</v>
      </c>
      <c r="E414" s="38">
        <v>132670411</v>
      </c>
      <c r="F414" s="39">
        <v>132670481</v>
      </c>
      <c r="G414" s="49" t="str">
        <f>HYPERLINK("http://genome.ucsc.edu/cgi-bin/hgTracks?position=chr4:132670261-132670631", "Go2UCSC")</f>
        <v>Go2UCSC</v>
      </c>
      <c r="H414" s="50">
        <v>1.8866666666666674</v>
      </c>
      <c r="I414" s="50">
        <v>0.10416666667499999</v>
      </c>
      <c r="J414" s="51">
        <v>1.9908333333416675</v>
      </c>
      <c r="K414" s="52">
        <v>0.94767685223546383</v>
      </c>
      <c r="L414" s="51">
        <v>0.53661275831311794</v>
      </c>
      <c r="M414" s="34">
        <v>1.4</v>
      </c>
      <c r="N414" s="34">
        <v>4.12</v>
      </c>
      <c r="O414" s="34">
        <v>2.0266666666666699</v>
      </c>
      <c r="P414" s="34">
        <v>0</v>
      </c>
      <c r="Q414" s="34">
        <v>0</v>
      </c>
      <c r="R414" s="34">
        <v>0</v>
      </c>
      <c r="S414" s="34">
        <v>0.25</v>
      </c>
      <c r="T414" s="34">
        <v>0.16666666669999999</v>
      </c>
    </row>
    <row r="415" spans="1:20" x14ac:dyDescent="0.2">
      <c r="A415" s="12">
        <v>412</v>
      </c>
      <c r="B415" s="47" t="s">
        <v>150</v>
      </c>
      <c r="C415" s="65" t="s">
        <v>748</v>
      </c>
      <c r="D415" s="48" t="s">
        <v>508</v>
      </c>
      <c r="E415" s="38">
        <v>132902260</v>
      </c>
      <c r="F415" s="39">
        <v>132902331</v>
      </c>
      <c r="G415" s="49" t="str">
        <f>HYPERLINK("http://genome.ucsc.edu/cgi-bin/hgTracks?position=chrX:132902110-132902481", "Go2UCSC")</f>
        <v>Go2UCSC</v>
      </c>
      <c r="H415" s="50">
        <v>1.1833333333333325</v>
      </c>
      <c r="I415" s="50">
        <v>0.80499999999999927</v>
      </c>
      <c r="J415" s="51">
        <v>1.9883333333333317</v>
      </c>
      <c r="K415" s="52">
        <v>0.59513830678960611</v>
      </c>
      <c r="L415" s="51">
        <v>0.53449820788530422</v>
      </c>
      <c r="M415" s="34">
        <v>1.0933333333333299</v>
      </c>
      <c r="N415" s="34">
        <v>2.0266666666666699</v>
      </c>
      <c r="O415" s="34">
        <v>1.61333333333333</v>
      </c>
      <c r="P415" s="34">
        <v>0</v>
      </c>
      <c r="Q415" s="34">
        <v>0.98666666666666702</v>
      </c>
      <c r="R415" s="34">
        <v>1.3333333333333299</v>
      </c>
      <c r="S415" s="34">
        <v>0.4</v>
      </c>
      <c r="T415" s="34">
        <v>0.5</v>
      </c>
    </row>
    <row r="416" spans="1:20" ht="25.5" x14ac:dyDescent="0.2">
      <c r="A416" s="12">
        <v>413</v>
      </c>
      <c r="B416" s="47" t="s">
        <v>57</v>
      </c>
      <c r="C416" s="65" t="s">
        <v>749</v>
      </c>
      <c r="D416" s="48" t="s">
        <v>414</v>
      </c>
      <c r="E416" s="38">
        <v>23520607</v>
      </c>
      <c r="F416" s="39">
        <v>23520695</v>
      </c>
      <c r="G416" s="49" t="str">
        <f>HYPERLINK("http://genome.ucsc.edu/cgi-bin/hgTracks?position=chr13:23520457-23520845", "Go2UCSC")</f>
        <v>Go2UCSC</v>
      </c>
      <c r="H416" s="50">
        <v>2.0466666666666651</v>
      </c>
      <c r="I416" s="50">
        <v>0</v>
      </c>
      <c r="J416" s="51">
        <v>2.0466666666666651</v>
      </c>
      <c r="K416" s="52">
        <v>1</v>
      </c>
      <c r="L416" s="51">
        <v>0.52613538988860287</v>
      </c>
      <c r="M416" s="34">
        <v>2.5333333333333301</v>
      </c>
      <c r="N416" s="34">
        <v>1.56</v>
      </c>
      <c r="O416" s="34">
        <v>2.2533333333333299</v>
      </c>
      <c r="P416" s="34">
        <v>1.84</v>
      </c>
      <c r="Q416" s="34">
        <v>0</v>
      </c>
      <c r="R416" s="34">
        <v>0</v>
      </c>
      <c r="S416" s="34">
        <v>0</v>
      </c>
      <c r="T416" s="34">
        <v>0</v>
      </c>
    </row>
    <row r="417" spans="1:20" x14ac:dyDescent="0.2">
      <c r="A417" s="12">
        <v>414</v>
      </c>
      <c r="B417" s="47" t="s">
        <v>58</v>
      </c>
      <c r="C417" s="65" t="s">
        <v>750</v>
      </c>
      <c r="D417" s="48" t="s">
        <v>508</v>
      </c>
      <c r="E417" s="38">
        <v>14279742</v>
      </c>
      <c r="F417" s="39">
        <v>14279813</v>
      </c>
      <c r="G417" s="49" t="str">
        <f>HYPERLINK("http://genome.ucsc.edu/cgi-bin/hgTracks?position=chrX:14279592-14279963", "Go2UCSC")</f>
        <v>Go2UCSC</v>
      </c>
      <c r="H417" s="50">
        <v>1.0133333333333325</v>
      </c>
      <c r="I417" s="50">
        <v>0.94288888888611022</v>
      </c>
      <c r="J417" s="51">
        <v>1.9562222222194428</v>
      </c>
      <c r="K417" s="52">
        <v>0.51800522549204542</v>
      </c>
      <c r="L417" s="51">
        <v>0.52586618876866742</v>
      </c>
      <c r="M417" s="34">
        <v>0</v>
      </c>
      <c r="N417" s="34">
        <v>3.04</v>
      </c>
      <c r="O417" s="34">
        <v>0</v>
      </c>
      <c r="P417" s="34">
        <v>1.0133333333333301</v>
      </c>
      <c r="Q417" s="34">
        <v>1.21333333333333</v>
      </c>
      <c r="R417" s="34">
        <v>0.43111111111111106</v>
      </c>
      <c r="S417" s="34">
        <v>1.0626666667</v>
      </c>
      <c r="T417" s="34">
        <v>1.0644444444000001</v>
      </c>
    </row>
    <row r="418" spans="1:20" ht="25.5" x14ac:dyDescent="0.2">
      <c r="A418" s="12">
        <v>415</v>
      </c>
      <c r="B418" s="47" t="s">
        <v>455</v>
      </c>
      <c r="C418" s="65" t="s">
        <v>751</v>
      </c>
      <c r="D418" s="48" t="s">
        <v>204</v>
      </c>
      <c r="E418" s="38">
        <v>56231424</v>
      </c>
      <c r="F418" s="39">
        <v>56231495</v>
      </c>
      <c r="G418" s="49" t="str">
        <f>HYPERLINK("http://genome.ucsc.edu/cgi-bin/hgTracks?position=chr17:56231274-56231645", "Go2UCSC")</f>
        <v>Go2UCSC</v>
      </c>
      <c r="H418" s="50">
        <v>1.0933333333333324</v>
      </c>
      <c r="I418" s="50">
        <v>0.8439775081545311</v>
      </c>
      <c r="J418" s="51">
        <v>1.9373108414878635</v>
      </c>
      <c r="K418" s="52">
        <v>0.56435617347479838</v>
      </c>
      <c r="L418" s="51">
        <v>0.5207824842709311</v>
      </c>
      <c r="M418" s="34">
        <v>0</v>
      </c>
      <c r="N418" s="34">
        <v>1.0133333333333301</v>
      </c>
      <c r="O418" s="34">
        <v>2.0266666666666699</v>
      </c>
      <c r="P418" s="34">
        <v>1.3333333333333299</v>
      </c>
      <c r="Q418" s="34">
        <v>0.96487324994668711</v>
      </c>
      <c r="R418" s="34">
        <v>0.94499610407143708</v>
      </c>
      <c r="S418" s="34">
        <v>0.609832492</v>
      </c>
      <c r="T418" s="34">
        <v>0.85620818659999998</v>
      </c>
    </row>
    <row r="419" spans="1:20" x14ac:dyDescent="0.2">
      <c r="A419" s="12">
        <v>416</v>
      </c>
      <c r="B419" s="47" t="s">
        <v>151</v>
      </c>
      <c r="C419" s="65" t="s">
        <v>752</v>
      </c>
      <c r="D419" s="48" t="s">
        <v>508</v>
      </c>
      <c r="E419" s="38">
        <v>132913905</v>
      </c>
      <c r="F419" s="39">
        <v>132913976</v>
      </c>
      <c r="G419" s="49" t="str">
        <f>HYPERLINK("http://genome.ucsc.edu/cgi-bin/hgTracks?position=chrX:132913755-132914126", "Go2UCSC")</f>
        <v>Go2UCSC</v>
      </c>
      <c r="H419" s="50">
        <v>0</v>
      </c>
      <c r="I419" s="50">
        <v>1.857499999983335</v>
      </c>
      <c r="J419" s="51">
        <v>1.857499999983335</v>
      </c>
      <c r="K419" s="52">
        <v>0</v>
      </c>
      <c r="L419" s="51">
        <v>0.49932795698476745</v>
      </c>
      <c r="M419" s="34">
        <v>0</v>
      </c>
      <c r="N419" s="34">
        <v>0</v>
      </c>
      <c r="O419" s="34">
        <v>0</v>
      </c>
      <c r="P419" s="34">
        <v>0</v>
      </c>
      <c r="Q419" s="34">
        <v>2.48</v>
      </c>
      <c r="R419" s="34">
        <v>2.19333333333334</v>
      </c>
      <c r="S419" s="34">
        <v>1.4233333333</v>
      </c>
      <c r="T419" s="34">
        <v>1.3333333333000001</v>
      </c>
    </row>
    <row r="420" spans="1:20" x14ac:dyDescent="0.2">
      <c r="A420" s="12">
        <v>417</v>
      </c>
      <c r="B420" s="47" t="s">
        <v>447</v>
      </c>
      <c r="C420" s="65" t="s">
        <v>753</v>
      </c>
      <c r="D420" s="48" t="s">
        <v>508</v>
      </c>
      <c r="E420" s="38">
        <v>132930061</v>
      </c>
      <c r="F420" s="39">
        <v>132930132</v>
      </c>
      <c r="G420" s="49" t="str">
        <f>HYPERLINK("http://genome.ucsc.edu/cgi-bin/hgTracks?position=chrX:132929911-132930282", "Go2UCSC")</f>
        <v>Go2UCSC</v>
      </c>
      <c r="H420" s="50">
        <v>0</v>
      </c>
      <c r="I420" s="50">
        <v>1.8574999999833324</v>
      </c>
      <c r="J420" s="51">
        <v>1.8574999999833324</v>
      </c>
      <c r="K420" s="52">
        <v>0</v>
      </c>
      <c r="L420" s="51">
        <v>0.49932795698476679</v>
      </c>
      <c r="M420" s="34">
        <v>0</v>
      </c>
      <c r="N420" s="34">
        <v>0</v>
      </c>
      <c r="O420" s="34">
        <v>0</v>
      </c>
      <c r="P420" s="34">
        <v>0</v>
      </c>
      <c r="Q420" s="34">
        <v>2.48</v>
      </c>
      <c r="R420" s="34">
        <v>2.1933333333333298</v>
      </c>
      <c r="S420" s="34">
        <v>1.4233333333</v>
      </c>
      <c r="T420" s="34">
        <v>1.3333333333000001</v>
      </c>
    </row>
    <row r="421" spans="1:20" ht="25.5" x14ac:dyDescent="0.2">
      <c r="A421" s="12">
        <v>418</v>
      </c>
      <c r="B421" s="47" t="s">
        <v>161</v>
      </c>
      <c r="C421" s="65" t="s">
        <v>754</v>
      </c>
      <c r="D421" s="48" t="s">
        <v>423</v>
      </c>
      <c r="E421" s="38">
        <v>62656988</v>
      </c>
      <c r="F421" s="39">
        <v>62657080</v>
      </c>
      <c r="G421" s="49" t="str">
        <f>HYPERLINK("http://genome.ucsc.edu/cgi-bin/hgTracks?position=chr10:62656838-62657230", "Go2UCSC")</f>
        <v>Go2UCSC</v>
      </c>
      <c r="H421" s="50">
        <v>1.6333333333333351</v>
      </c>
      <c r="I421" s="50">
        <v>0.25111111416314669</v>
      </c>
      <c r="J421" s="51">
        <v>1.8844444474964819</v>
      </c>
      <c r="K421" s="52">
        <v>0.86674528161509223</v>
      </c>
      <c r="L421" s="51">
        <v>0.47950240394312521</v>
      </c>
      <c r="M421" s="34">
        <v>2.0266666666666699</v>
      </c>
      <c r="N421" s="34">
        <v>1.4666666666666699</v>
      </c>
      <c r="O421" s="34">
        <v>0</v>
      </c>
      <c r="P421" s="34">
        <v>3.04</v>
      </c>
      <c r="Q421" s="34">
        <v>0.55624869954351208</v>
      </c>
      <c r="R421" s="34">
        <v>7.5593209809074594E-2</v>
      </c>
      <c r="S421" s="34">
        <v>4.23718342E-2</v>
      </c>
      <c r="T421" s="34">
        <v>0.33023071310000002</v>
      </c>
    </row>
    <row r="422" spans="1:20" ht="25.5" x14ac:dyDescent="0.2">
      <c r="A422" s="12">
        <v>419</v>
      </c>
      <c r="B422" s="47" t="s">
        <v>77</v>
      </c>
      <c r="C422" s="65" t="s">
        <v>755</v>
      </c>
      <c r="D422" s="48" t="s">
        <v>207</v>
      </c>
      <c r="E422" s="38">
        <v>43516062</v>
      </c>
      <c r="F422" s="39">
        <v>43516133</v>
      </c>
      <c r="G422" s="49" t="str">
        <f>HYPERLINK("http://genome.ucsc.edu/cgi-bin/hgTracks?position=chr12:43515912-43516283", "Go2UCSC")</f>
        <v>Go2UCSC</v>
      </c>
      <c r="H422" s="50">
        <v>1.53</v>
      </c>
      <c r="I422" s="50">
        <v>0.24733838382499998</v>
      </c>
      <c r="J422" s="51">
        <v>1.7773383838250001</v>
      </c>
      <c r="K422" s="52">
        <v>0.86083776388562294</v>
      </c>
      <c r="L422" s="51">
        <v>0.47777913543682798</v>
      </c>
      <c r="M422" s="34">
        <v>1.0533333333333299</v>
      </c>
      <c r="N422" s="34">
        <v>1.0133333333333301</v>
      </c>
      <c r="O422" s="34">
        <v>2.0266666666666699</v>
      </c>
      <c r="P422" s="34">
        <v>2.0266666666666699</v>
      </c>
      <c r="Q422" s="34">
        <v>9.9999999999999895E-2</v>
      </c>
      <c r="R422" s="34">
        <v>0.30099999999999999</v>
      </c>
      <c r="S422" s="34">
        <v>0.27911111110000003</v>
      </c>
      <c r="T422" s="34">
        <v>0.30924242420000003</v>
      </c>
    </row>
    <row r="423" spans="1:20" x14ac:dyDescent="0.2">
      <c r="A423" s="12">
        <v>420</v>
      </c>
      <c r="B423" s="47" t="s">
        <v>219</v>
      </c>
      <c r="C423" s="65" t="s">
        <v>756</v>
      </c>
      <c r="D423" s="48" t="s">
        <v>252</v>
      </c>
      <c r="E423" s="38">
        <v>24061947</v>
      </c>
      <c r="F423" s="39">
        <v>24062029</v>
      </c>
      <c r="G423" s="49" t="str">
        <f>HYPERLINK("http://genome.ucsc.edu/cgi-bin/hgTracks?position=chr3:24061797-24062179", "Go2UCSC")</f>
        <v>Go2UCSC</v>
      </c>
      <c r="H423" s="50">
        <v>1.8266666666666649</v>
      </c>
      <c r="I423" s="50">
        <v>0</v>
      </c>
      <c r="J423" s="51">
        <v>1.8266666666666649</v>
      </c>
      <c r="K423" s="52">
        <v>1</v>
      </c>
      <c r="L423" s="51">
        <v>0.4769364664926018</v>
      </c>
      <c r="M423" s="34">
        <v>0</v>
      </c>
      <c r="N423" s="34">
        <v>3.04</v>
      </c>
      <c r="O423" s="34">
        <v>1.41333333333333</v>
      </c>
      <c r="P423" s="34">
        <v>2.8533333333333299</v>
      </c>
      <c r="Q423" s="34">
        <v>0</v>
      </c>
      <c r="R423" s="34">
        <v>0</v>
      </c>
      <c r="S423" s="34">
        <v>0</v>
      </c>
      <c r="T423" s="34">
        <v>0</v>
      </c>
    </row>
    <row r="424" spans="1:20" x14ac:dyDescent="0.2">
      <c r="A424" s="12">
        <v>421</v>
      </c>
      <c r="B424" s="47" t="s">
        <v>149</v>
      </c>
      <c r="C424" s="65" t="s">
        <v>757</v>
      </c>
      <c r="D424" s="48" t="s">
        <v>508</v>
      </c>
      <c r="E424" s="38">
        <v>132892141</v>
      </c>
      <c r="F424" s="39">
        <v>132892212</v>
      </c>
      <c r="G424" s="49" t="str">
        <f>HYPERLINK("http://genome.ucsc.edu/cgi-bin/hgTracks?position=chrX:132891991-132892362", "Go2UCSC")</f>
        <v>Go2UCSC</v>
      </c>
      <c r="H424" s="50">
        <v>1.7733333333333325</v>
      </c>
      <c r="I424" s="50">
        <v>0</v>
      </c>
      <c r="J424" s="51">
        <v>1.7733333333333325</v>
      </c>
      <c r="K424" s="52">
        <v>1</v>
      </c>
      <c r="L424" s="51">
        <v>0.47670250896057326</v>
      </c>
      <c r="M424" s="34">
        <v>0</v>
      </c>
      <c r="N424" s="34">
        <v>0</v>
      </c>
      <c r="O424" s="34">
        <v>3.04</v>
      </c>
      <c r="P424" s="34">
        <v>4.0533333333333301</v>
      </c>
      <c r="Q424" s="34">
        <v>0</v>
      </c>
      <c r="R424" s="34">
        <v>0</v>
      </c>
      <c r="S424" s="34">
        <v>0</v>
      </c>
      <c r="T424" s="34">
        <v>0</v>
      </c>
    </row>
    <row r="425" spans="1:20" ht="25.5" x14ac:dyDescent="0.2">
      <c r="A425" s="12">
        <v>422</v>
      </c>
      <c r="B425" s="47" t="s">
        <v>516</v>
      </c>
      <c r="C425" s="65" t="s">
        <v>758</v>
      </c>
      <c r="D425" s="48" t="s">
        <v>92</v>
      </c>
      <c r="E425" s="38">
        <v>3012009</v>
      </c>
      <c r="F425" s="39">
        <v>3012080</v>
      </c>
      <c r="G425" s="49" t="str">
        <f>HYPERLINK("http://genome.ucsc.edu/cgi-bin/hgTracks?position=chr16:3011859-3012230", "Go2UCSC")</f>
        <v>Go2UCSC</v>
      </c>
      <c r="H425" s="50">
        <v>0</v>
      </c>
      <c r="I425" s="50">
        <v>1.5999999999999994</v>
      </c>
      <c r="J425" s="51">
        <v>1.5999999999999994</v>
      </c>
      <c r="K425" s="52">
        <v>0</v>
      </c>
      <c r="L425" s="51">
        <v>0.43010752688172027</v>
      </c>
      <c r="M425" s="34">
        <v>0</v>
      </c>
      <c r="N425" s="34">
        <v>0</v>
      </c>
      <c r="O425" s="34">
        <v>0</v>
      </c>
      <c r="P425" s="34">
        <v>0</v>
      </c>
      <c r="Q425" s="34">
        <v>1.3333333333333299</v>
      </c>
      <c r="R425" s="34">
        <v>0.66666666666666807</v>
      </c>
      <c r="S425" s="34">
        <v>2</v>
      </c>
      <c r="T425" s="34">
        <v>2.4</v>
      </c>
    </row>
    <row r="426" spans="1:20" ht="25.5" x14ac:dyDescent="0.2">
      <c r="A426" s="12">
        <v>423</v>
      </c>
      <c r="B426" s="47" t="s">
        <v>517</v>
      </c>
      <c r="C426" s="65" t="s">
        <v>759</v>
      </c>
      <c r="D426" s="48" t="s">
        <v>54</v>
      </c>
      <c r="E426" s="38">
        <v>3066556</v>
      </c>
      <c r="F426" s="39">
        <v>3066627</v>
      </c>
      <c r="G426" s="49" t="str">
        <f>HYPERLINK("http://genome.ucsc.edu/cgi-bin/hgTracks?position=chr19:3066406-3066777", "Go2UCSC")</f>
        <v>Go2UCSC</v>
      </c>
      <c r="H426" s="50">
        <v>0</v>
      </c>
      <c r="I426" s="50">
        <v>1.5999999999999994</v>
      </c>
      <c r="J426" s="51">
        <v>1.5999999999999994</v>
      </c>
      <c r="K426" s="52">
        <v>0</v>
      </c>
      <c r="L426" s="51">
        <v>0.43010752688172027</v>
      </c>
      <c r="M426" s="34">
        <v>0</v>
      </c>
      <c r="N426" s="34">
        <v>0</v>
      </c>
      <c r="O426" s="34">
        <v>0</v>
      </c>
      <c r="P426" s="34">
        <v>0</v>
      </c>
      <c r="Q426" s="34">
        <v>1.3333333333333299</v>
      </c>
      <c r="R426" s="34">
        <v>0.66666666666666807</v>
      </c>
      <c r="S426" s="34">
        <v>2</v>
      </c>
      <c r="T426" s="34">
        <v>2.4</v>
      </c>
    </row>
    <row r="427" spans="1:20" x14ac:dyDescent="0.2">
      <c r="A427" s="12">
        <v>424</v>
      </c>
      <c r="B427" s="47" t="s">
        <v>297</v>
      </c>
      <c r="C427" s="65" t="s">
        <v>760</v>
      </c>
      <c r="D427" s="48" t="s">
        <v>508</v>
      </c>
      <c r="E427" s="38">
        <v>133088264</v>
      </c>
      <c r="F427" s="39">
        <v>133088335</v>
      </c>
      <c r="G427" s="49" t="str">
        <f>HYPERLINK("http://genome.ucsc.edu/cgi-bin/hgTracks?position=chrX:133088114-133088485", "Go2UCSC")</f>
        <v>Go2UCSC</v>
      </c>
      <c r="H427" s="50">
        <v>0</v>
      </c>
      <c r="I427" s="50">
        <v>1.5283333333333333</v>
      </c>
      <c r="J427" s="51">
        <v>1.5283333333333333</v>
      </c>
      <c r="K427" s="52">
        <v>0</v>
      </c>
      <c r="L427" s="51">
        <v>0.41084229390681004</v>
      </c>
      <c r="M427" s="34">
        <v>0</v>
      </c>
      <c r="N427" s="34">
        <v>0</v>
      </c>
      <c r="O427" s="34">
        <v>0</v>
      </c>
      <c r="P427" s="34">
        <v>0</v>
      </c>
      <c r="Q427" s="34">
        <v>0.61333333333333306</v>
      </c>
      <c r="R427" s="34">
        <v>0.5</v>
      </c>
      <c r="S427" s="34">
        <v>3.5</v>
      </c>
      <c r="T427" s="34">
        <v>1.5</v>
      </c>
    </row>
    <row r="428" spans="1:20" x14ac:dyDescent="0.2">
      <c r="A428" s="12">
        <v>425</v>
      </c>
      <c r="B428" s="47" t="s">
        <v>296</v>
      </c>
      <c r="C428" s="65" t="s">
        <v>761</v>
      </c>
      <c r="D428" s="48" t="s">
        <v>508</v>
      </c>
      <c r="E428" s="38">
        <v>132964904</v>
      </c>
      <c r="F428" s="39">
        <v>132964975</v>
      </c>
      <c r="G428" s="49" t="str">
        <f>HYPERLINK("http://genome.ucsc.edu/cgi-bin/hgTracks?position=chrX:132964754-132965125", "Go2UCSC")</f>
        <v>Go2UCSC</v>
      </c>
      <c r="H428" s="50">
        <v>0</v>
      </c>
      <c r="I428" s="50">
        <v>1.5283333333333333</v>
      </c>
      <c r="J428" s="51">
        <v>1.5283333333333333</v>
      </c>
      <c r="K428" s="52">
        <v>0</v>
      </c>
      <c r="L428" s="51">
        <v>0.41084229390681004</v>
      </c>
      <c r="M428" s="34">
        <v>0</v>
      </c>
      <c r="N428" s="34">
        <v>0</v>
      </c>
      <c r="O428" s="34">
        <v>0</v>
      </c>
      <c r="P428" s="34">
        <v>0</v>
      </c>
      <c r="Q428" s="34">
        <v>0.61333333333333306</v>
      </c>
      <c r="R428" s="34">
        <v>0.5</v>
      </c>
      <c r="S428" s="34">
        <v>3.5</v>
      </c>
      <c r="T428" s="34">
        <v>1.5</v>
      </c>
    </row>
    <row r="429" spans="1:20" x14ac:dyDescent="0.2">
      <c r="A429" s="12">
        <v>426</v>
      </c>
      <c r="B429" s="47" t="s">
        <v>451</v>
      </c>
      <c r="C429" s="65" t="s">
        <v>762</v>
      </c>
      <c r="D429" s="48" t="s">
        <v>508</v>
      </c>
      <c r="E429" s="38">
        <v>157573066</v>
      </c>
      <c r="F429" s="39">
        <v>157573148</v>
      </c>
      <c r="G429" s="49" t="str">
        <f>HYPERLINK("http://genome.ucsc.edu/cgi-bin/hgTracks?position=chrX:157572916-157573298", "Go2UCSC")</f>
        <v>Go2UCSC</v>
      </c>
      <c r="H429" s="50">
        <v>0.91000000000000103</v>
      </c>
      <c r="I429" s="50">
        <v>0.27802279860969903</v>
      </c>
      <c r="J429" s="51">
        <v>1.1880227986097001</v>
      </c>
      <c r="K429" s="52">
        <v>0.76597856629093397</v>
      </c>
      <c r="L429" s="51">
        <v>0.31018872026362926</v>
      </c>
      <c r="M429" s="34">
        <v>0</v>
      </c>
      <c r="N429" s="34">
        <v>0.78666666666666707</v>
      </c>
      <c r="O429" s="34">
        <v>2.0266666666666699</v>
      </c>
      <c r="P429" s="34">
        <v>0.8266666666666671</v>
      </c>
      <c r="Q429" s="34">
        <v>0.146254050784314</v>
      </c>
      <c r="R429" s="34">
        <v>0.39530500735448204</v>
      </c>
      <c r="S429" s="34">
        <v>0.19728160050000002</v>
      </c>
      <c r="T429" s="34">
        <v>0.37325053580000001</v>
      </c>
    </row>
    <row r="430" spans="1:20" x14ac:dyDescent="0.2">
      <c r="A430" s="12">
        <v>427</v>
      </c>
      <c r="B430" s="47" t="s">
        <v>295</v>
      </c>
      <c r="C430" s="65" t="s">
        <v>763</v>
      </c>
      <c r="D430" s="48" t="s">
        <v>508</v>
      </c>
      <c r="E430" s="38">
        <v>132936407</v>
      </c>
      <c r="F430" s="39">
        <v>132936478</v>
      </c>
      <c r="G430" s="49" t="str">
        <f>HYPERLINK("http://genome.ucsc.edu/cgi-bin/hgTracks?position=chrX:132936257-132936628", "Go2UCSC")</f>
        <v>Go2UCSC</v>
      </c>
      <c r="H430" s="50">
        <v>0</v>
      </c>
      <c r="I430" s="50">
        <v>1.062499999991666</v>
      </c>
      <c r="J430" s="51">
        <v>1.062499999991666</v>
      </c>
      <c r="K430" s="52">
        <v>0</v>
      </c>
      <c r="L430" s="51">
        <v>0.28561827956765218</v>
      </c>
      <c r="M430" s="34">
        <v>0</v>
      </c>
      <c r="N430" s="34">
        <v>0</v>
      </c>
      <c r="O430" s="34">
        <v>0</v>
      </c>
      <c r="P430" s="34">
        <v>0</v>
      </c>
      <c r="Q430" s="34">
        <v>0.83333333333333404</v>
      </c>
      <c r="R430" s="34">
        <v>1.8333333333333299</v>
      </c>
      <c r="S430" s="34">
        <v>0.25</v>
      </c>
      <c r="T430" s="34">
        <v>1.3333333333000001</v>
      </c>
    </row>
    <row r="431" spans="1:20" x14ac:dyDescent="0.2">
      <c r="A431" s="12">
        <v>428</v>
      </c>
      <c r="B431" s="47" t="s">
        <v>157</v>
      </c>
      <c r="C431" s="65" t="s">
        <v>764</v>
      </c>
      <c r="D431" s="48" t="s">
        <v>508</v>
      </c>
      <c r="E431" s="38">
        <v>163347665</v>
      </c>
      <c r="F431" s="39">
        <v>163347746</v>
      </c>
      <c r="G431" s="49" t="str">
        <f>HYPERLINK("http://genome.ucsc.edu/cgi-bin/hgTracks?position=chrX:163347515-163347896", "Go2UCSC")</f>
        <v>Go2UCSC</v>
      </c>
      <c r="H431" s="50">
        <v>1.0133333333333325</v>
      </c>
      <c r="I431" s="50">
        <v>0</v>
      </c>
      <c r="J431" s="51">
        <v>1.0133333333333325</v>
      </c>
      <c r="K431" s="52">
        <v>1</v>
      </c>
      <c r="L431" s="51">
        <v>0.26527050610820224</v>
      </c>
      <c r="M431" s="34">
        <v>4.0533333333333301</v>
      </c>
      <c r="N431" s="34">
        <v>0</v>
      </c>
      <c r="O431" s="34">
        <v>0</v>
      </c>
      <c r="P431" s="34">
        <v>0</v>
      </c>
      <c r="Q431" s="34">
        <v>0</v>
      </c>
      <c r="R431" s="34">
        <v>0</v>
      </c>
      <c r="S431" s="34">
        <v>0</v>
      </c>
      <c r="T431" s="34">
        <v>0</v>
      </c>
    </row>
    <row r="432" spans="1:20" x14ac:dyDescent="0.2">
      <c r="A432" s="12">
        <v>429</v>
      </c>
      <c r="B432" s="47" t="s">
        <v>300</v>
      </c>
      <c r="C432" s="65" t="s">
        <v>765</v>
      </c>
      <c r="D432" s="48" t="s">
        <v>508</v>
      </c>
      <c r="E432" s="38">
        <v>133104302</v>
      </c>
      <c r="F432" s="39">
        <v>133104374</v>
      </c>
      <c r="G432" s="49" t="str">
        <f>HYPERLINK("http://genome.ucsc.edu/cgi-bin/hgTracks?position=chrX:133104152-133104524", "Go2UCSC")</f>
        <v>Go2UCSC</v>
      </c>
      <c r="H432" s="50">
        <v>0.25333333333333252</v>
      </c>
      <c r="I432" s="50">
        <v>0.72</v>
      </c>
      <c r="J432" s="51">
        <v>0.9733333333333325</v>
      </c>
      <c r="K432" s="52">
        <v>0.2602739726027391</v>
      </c>
      <c r="L432" s="51">
        <v>0.26094727435209986</v>
      </c>
      <c r="M432" s="34">
        <v>0</v>
      </c>
      <c r="N432" s="34">
        <v>0</v>
      </c>
      <c r="O432" s="34">
        <v>0</v>
      </c>
      <c r="P432" s="34">
        <v>1.0133333333333301</v>
      </c>
      <c r="Q432" s="34">
        <v>0.98</v>
      </c>
      <c r="R432" s="34">
        <v>1</v>
      </c>
      <c r="S432" s="34">
        <v>0.4</v>
      </c>
      <c r="T432" s="34">
        <v>0.5</v>
      </c>
    </row>
    <row r="433" spans="1:20" x14ac:dyDescent="0.2">
      <c r="A433" s="12">
        <v>430</v>
      </c>
      <c r="B433" s="47" t="s">
        <v>298</v>
      </c>
      <c r="C433" s="65" t="s">
        <v>766</v>
      </c>
      <c r="D433" s="48" t="s">
        <v>508</v>
      </c>
      <c r="E433" s="38">
        <v>133102404</v>
      </c>
      <c r="F433" s="39">
        <v>133102475</v>
      </c>
      <c r="G433" s="49" t="str">
        <f>HYPERLINK("http://genome.ucsc.edu/cgi-bin/hgTracks?position=chrX:133102254-133102625", "Go2UCSC")</f>
        <v>Go2UCSC</v>
      </c>
      <c r="H433" s="50">
        <v>0.40333333333333254</v>
      </c>
      <c r="I433" s="50">
        <v>0.50250000000000028</v>
      </c>
      <c r="J433" s="51">
        <v>0.90583333333333282</v>
      </c>
      <c r="K433" s="52">
        <v>0.44526218951241886</v>
      </c>
      <c r="L433" s="51">
        <v>0.24350358422939056</v>
      </c>
      <c r="M433" s="34">
        <v>0</v>
      </c>
      <c r="N433" s="34">
        <v>1.0133333333333301</v>
      </c>
      <c r="O433" s="34">
        <v>0.60000000000000009</v>
      </c>
      <c r="P433" s="34">
        <v>0</v>
      </c>
      <c r="Q433" s="34">
        <v>0.83333333333333404</v>
      </c>
      <c r="R433" s="34">
        <v>0.52666666666666706</v>
      </c>
      <c r="S433" s="34">
        <v>0.65</v>
      </c>
      <c r="T433" s="34">
        <v>0</v>
      </c>
    </row>
    <row r="434" spans="1:20" x14ac:dyDescent="0.2">
      <c r="A434" s="12">
        <v>431</v>
      </c>
      <c r="B434" s="47" t="s">
        <v>301</v>
      </c>
      <c r="C434" s="65" t="s">
        <v>767</v>
      </c>
      <c r="D434" s="48" t="s">
        <v>508</v>
      </c>
      <c r="E434" s="38">
        <v>133124904</v>
      </c>
      <c r="F434" s="39">
        <v>133124975</v>
      </c>
      <c r="G434" s="49" t="str">
        <f>HYPERLINK("http://genome.ucsc.edu/cgi-bin/hgTracks?position=chrX:133124754-133125125", "Go2UCSC")</f>
        <v>Go2UCSC</v>
      </c>
      <c r="H434" s="50">
        <v>0.8199999999999984</v>
      </c>
      <c r="I434" s="50">
        <v>0</v>
      </c>
      <c r="J434" s="51">
        <v>0.8199999999999984</v>
      </c>
      <c r="K434" s="52">
        <v>1</v>
      </c>
      <c r="L434" s="51">
        <v>0.2204301075268813</v>
      </c>
      <c r="M434" s="34">
        <v>1.0133333333333301</v>
      </c>
      <c r="N434" s="34">
        <v>1.1599999999999999</v>
      </c>
      <c r="O434" s="34">
        <v>1.0133333333333301</v>
      </c>
      <c r="P434" s="34">
        <v>9.3333333333333296E-2</v>
      </c>
      <c r="Q434" s="34">
        <v>0</v>
      </c>
      <c r="R434" s="34">
        <v>0</v>
      </c>
      <c r="S434" s="34">
        <v>0</v>
      </c>
      <c r="T434" s="34">
        <v>0</v>
      </c>
    </row>
    <row r="435" spans="1:20" x14ac:dyDescent="0.2">
      <c r="A435" s="12">
        <v>432</v>
      </c>
      <c r="B435" s="47" t="s">
        <v>21</v>
      </c>
      <c r="C435" s="65" t="s">
        <v>768</v>
      </c>
      <c r="D435" s="48" t="s">
        <v>508</v>
      </c>
      <c r="E435" s="38">
        <v>13436292</v>
      </c>
      <c r="F435" s="39">
        <v>13436363</v>
      </c>
      <c r="G435" s="49" t="str">
        <f>HYPERLINK("http://genome.ucsc.edu/cgi-bin/hgTracks?position=chrX:13436142-13436513", "Go2UCSC")</f>
        <v>Go2UCSC</v>
      </c>
      <c r="H435" s="50">
        <v>0.61666666666666503</v>
      </c>
      <c r="I435" s="50">
        <v>0.15537409509976327</v>
      </c>
      <c r="J435" s="51">
        <v>0.77204076176642833</v>
      </c>
      <c r="K435" s="52">
        <v>0.79874884488706588</v>
      </c>
      <c r="L435" s="51">
        <v>0.20753783918452373</v>
      </c>
      <c r="M435" s="34">
        <v>0.44</v>
      </c>
      <c r="N435" s="34">
        <v>0</v>
      </c>
      <c r="O435" s="34">
        <v>1.0133333333333301</v>
      </c>
      <c r="P435" s="34">
        <v>1.0133333333333301</v>
      </c>
      <c r="Q435" s="34">
        <v>0.19707040703137502</v>
      </c>
      <c r="R435" s="34">
        <v>0.10876542976767802</v>
      </c>
      <c r="S435" s="34">
        <v>0.1163290411</v>
      </c>
      <c r="T435" s="34">
        <v>0.19933150250000001</v>
      </c>
    </row>
    <row r="436" spans="1:20" x14ac:dyDescent="0.2">
      <c r="A436" s="12">
        <v>433</v>
      </c>
      <c r="B436" s="47" t="s">
        <v>535</v>
      </c>
      <c r="C436" s="65" t="s">
        <v>769</v>
      </c>
      <c r="D436" s="48" t="s">
        <v>257</v>
      </c>
      <c r="E436" s="38">
        <v>74956737</v>
      </c>
      <c r="F436" s="39">
        <v>74956819</v>
      </c>
      <c r="G436" s="49" t="str">
        <f>HYPERLINK("http://genome.ucsc.edu/cgi-bin/hgTracks?position=chr9:74956587-74956969", "Go2UCSC")</f>
        <v>Go2UCSC</v>
      </c>
      <c r="H436" s="50">
        <v>0.40333333333333254</v>
      </c>
      <c r="I436" s="50">
        <v>0</v>
      </c>
      <c r="J436" s="51">
        <v>0.40333333333333254</v>
      </c>
      <c r="K436" s="52">
        <v>1</v>
      </c>
      <c r="L436" s="51">
        <v>0.10530896431679701</v>
      </c>
      <c r="M436" s="34">
        <v>0</v>
      </c>
      <c r="N436" s="34">
        <v>0.60000000000000009</v>
      </c>
      <c r="O436" s="34">
        <v>0</v>
      </c>
      <c r="P436" s="34">
        <v>1.0133333333333301</v>
      </c>
      <c r="Q436" s="34">
        <v>0</v>
      </c>
      <c r="R436" s="34">
        <v>0</v>
      </c>
      <c r="S436" s="34">
        <v>0</v>
      </c>
      <c r="T436" s="34">
        <v>0</v>
      </c>
    </row>
    <row r="438" spans="1:20" ht="113.1" customHeight="1" x14ac:dyDescent="0.2">
      <c r="A438" s="73" t="s">
        <v>906</v>
      </c>
      <c r="B438" s="74"/>
      <c r="C438" s="74"/>
      <c r="D438" s="74"/>
      <c r="E438" s="74"/>
      <c r="F438" s="74"/>
      <c r="G438" s="74"/>
      <c r="H438" s="74"/>
      <c r="I438" s="74"/>
      <c r="J438" s="74"/>
      <c r="K438" s="74"/>
      <c r="L438" s="74"/>
      <c r="M438" s="74"/>
      <c r="N438" s="74"/>
      <c r="O438" s="74"/>
      <c r="P438" s="74"/>
      <c r="Q438" s="74"/>
      <c r="R438" s="74"/>
      <c r="S438" s="74"/>
      <c r="T438" s="74"/>
    </row>
    <row r="451" spans="9:9" x14ac:dyDescent="0.2">
      <c r="I451" s="16"/>
    </row>
  </sheetData>
  <sortState ref="A4:T436">
    <sortCondition descending="1" ref="L4:L436"/>
  </sortState>
  <mergeCells count="11">
    <mergeCell ref="B1:C1"/>
    <mergeCell ref="A438:T438"/>
    <mergeCell ref="M3:P3"/>
    <mergeCell ref="Q3:T3"/>
    <mergeCell ref="H2:L2"/>
    <mergeCell ref="B2:C2"/>
    <mergeCell ref="A2:A3"/>
    <mergeCell ref="D2:D3"/>
    <mergeCell ref="E2:E3"/>
    <mergeCell ref="F2:F3"/>
    <mergeCell ref="G2:G3"/>
  </mergeCells>
  <phoneticPr fontId="4" type="noConversion"/>
  <pageMargins left="0.75000000000000011" right="0.75000000000000011" top="1" bottom="1" header="0.51" footer="0.51"/>
  <pageSetup scale="70"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W1"/>
  <sheetViews>
    <sheetView workbookViewId="0">
      <selection activeCell="F44" sqref="F44"/>
    </sheetView>
  </sheetViews>
  <sheetFormatPr defaultColWidth="11.42578125" defaultRowHeight="12.75" x14ac:dyDescent="0.2"/>
  <cols>
    <col min="1" max="257" width="10.85546875" style="1"/>
  </cols>
  <sheetData/>
  <pageMargins left="0.75" right="0.75" top="1" bottom="1" header="0.51180555555555496" footer="0.51180555555555496"/>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Kulesa, Tara</dc:creator>
  <cp:lastModifiedBy>Tara Kulesa</cp:lastModifiedBy>
  <cp:revision>0</cp:revision>
  <cp:lastPrinted>2011-07-15T15:48:43Z</cp:lastPrinted>
  <dcterms:created xsi:type="dcterms:W3CDTF">2011-04-15T13:54:48Z</dcterms:created>
  <dcterms:modified xsi:type="dcterms:W3CDTF">2012-07-12T17:30:28Z</dcterms:modified>
</cp:coreProperties>
</file>